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nhu12gl1wic02\DfsRoots\C&amp;K Green Database\2-Generic Compliance Documents\Current Documents\WW Documents\"/>
    </mc:Choice>
  </mc:AlternateContent>
  <xr:revisionPtr revIDLastSave="0" documentId="13_ncr:1_{64BC97BF-1D33-4740-A00E-F85FF32A39B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4" yWindow="-104" windowWidth="22326" windowHeight="11947"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 i="5" l="1"/>
  <c r="T21" i="5"/>
  <c r="T25" i="5"/>
  <c r="T35" i="5"/>
  <c r="T50" i="5"/>
  <c r="T62" i="5"/>
  <c r="T63" i="5"/>
  <c r="T69" i="5"/>
  <c r="T81"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R24" i="5" s="1"/>
  <c r="X24" i="5"/>
  <c r="V25" i="5"/>
  <c r="V26" i="5"/>
  <c r="X26" i="5"/>
  <c r="V27" i="5"/>
  <c r="V28" i="5"/>
  <c r="X28" i="5"/>
  <c r="V29" i="5"/>
  <c r="V30" i="5"/>
  <c r="X30" i="5"/>
  <c r="V31" i="5"/>
  <c r="V32" i="5"/>
  <c r="X32" i="5"/>
  <c r="V33" i="5"/>
  <c r="V34" i="5"/>
  <c r="V35" i="5"/>
  <c r="R35" i="5" s="1"/>
  <c r="V36" i="5"/>
  <c r="X36" i="5"/>
  <c r="V37" i="5"/>
  <c r="V38" i="5"/>
  <c r="V39" i="5"/>
  <c r="V40" i="5"/>
  <c r="V41" i="5"/>
  <c r="V42" i="5"/>
  <c r="R42" i="5" s="1"/>
  <c r="X42" i="5"/>
  <c r="V43" i="5"/>
  <c r="V44" i="5"/>
  <c r="V45" i="5"/>
  <c r="R45" i="5" s="1"/>
  <c r="V46" i="5"/>
  <c r="V47" i="5"/>
  <c r="V48" i="5"/>
  <c r="V49" i="5"/>
  <c r="V50" i="5"/>
  <c r="V51" i="5"/>
  <c r="V52" i="5"/>
  <c r="X52" i="5"/>
  <c r="V53" i="5"/>
  <c r="V54" i="5"/>
  <c r="V55" i="5"/>
  <c r="V56" i="5"/>
  <c r="X56" i="5"/>
  <c r="V57" i="5"/>
  <c r="V58" i="5"/>
  <c r="X58" i="5"/>
  <c r="V59" i="5"/>
  <c r="V60" i="5"/>
  <c r="X60" i="5"/>
  <c r="V61" i="5"/>
  <c r="R61" i="5" s="1"/>
  <c r="V62" i="5"/>
  <c r="V63" i="5"/>
  <c r="V64" i="5"/>
  <c r="X64" i="5"/>
  <c r="V65" i="5"/>
  <c r="V66" i="5"/>
  <c r="V67" i="5"/>
  <c r="V68" i="5"/>
  <c r="V69" i="5"/>
  <c r="V70" i="5"/>
  <c r="V71" i="5"/>
  <c r="V72" i="5"/>
  <c r="X72" i="5"/>
  <c r="V73" i="5"/>
  <c r="R73" i="5" s="1"/>
  <c r="V74" i="5"/>
  <c r="R74" i="5" s="1"/>
  <c r="X74" i="5"/>
  <c r="V75" i="5"/>
  <c r="V76" i="5"/>
  <c r="V77" i="5"/>
  <c r="V78" i="5"/>
  <c r="V79" i="5"/>
  <c r="V80" i="5"/>
  <c r="X80" i="5"/>
  <c r="V81" i="5"/>
  <c r="V82" i="5"/>
  <c r="R82" i="5" s="1"/>
  <c r="V83" i="5"/>
  <c r="R83" i="5" s="1"/>
  <c r="V84" i="5"/>
  <c r="R84" i="5" s="1"/>
  <c r="X84" i="5"/>
  <c r="V85" i="5"/>
  <c r="V86" i="5"/>
  <c r="V87" i="5"/>
  <c r="V88" i="5"/>
  <c r="E88" i="5"/>
  <c r="X88" i="5" s="1"/>
  <c r="V89" i="5"/>
  <c r="E89" i="5"/>
  <c r="V90" i="5"/>
  <c r="E90" i="5"/>
  <c r="V91" i="5"/>
  <c r="E91" i="5"/>
  <c r="V92" i="5"/>
  <c r="E92" i="5"/>
  <c r="V93" i="5"/>
  <c r="E93" i="5"/>
  <c r="X93" i="5" s="1"/>
  <c r="V94" i="5"/>
  <c r="E94" i="5"/>
  <c r="X94" i="5" s="1"/>
  <c r="V95" i="5"/>
  <c r="E95" i="5"/>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X151" i="5" s="1"/>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V210" i="5"/>
  <c r="E210" i="5"/>
  <c r="X210" i="5" s="1"/>
  <c r="V211" i="5"/>
  <c r="E211" i="5"/>
  <c r="X211" i="5" s="1"/>
  <c r="V212" i="5"/>
  <c r="E212" i="5"/>
  <c r="V213" i="5"/>
  <c r="E213" i="5"/>
  <c r="X213" i="5" s="1"/>
  <c r="V214" i="5"/>
  <c r="E214" i="5"/>
  <c r="V215" i="5"/>
  <c r="E215" i="5"/>
  <c r="V216" i="5"/>
  <c r="E216" i="5"/>
  <c r="V217" i="5"/>
  <c r="E217" i="5"/>
  <c r="X217" i="5" s="1"/>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X253" i="5" s="1"/>
  <c r="V254" i="5"/>
  <c r="E254" i="5"/>
  <c r="X254" i="5" s="1"/>
  <c r="V255" i="5"/>
  <c r="E255" i="5"/>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X325" i="5" s="1"/>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X348" i="5" s="1"/>
  <c r="V349" i="5"/>
  <c r="E349" i="5"/>
  <c r="X349" i="5" s="1"/>
  <c r="V350" i="5"/>
  <c r="E350" i="5"/>
  <c r="V351" i="5"/>
  <c r="E351" i="5"/>
  <c r="X351" i="5" s="1"/>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X415" i="5" s="1"/>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X475" i="5" s="1"/>
  <c r="V476" i="5"/>
  <c r="E476" i="5"/>
  <c r="X476" i="5" s="1"/>
  <c r="V477" i="5"/>
  <c r="E477" i="5"/>
  <c r="V478" i="5"/>
  <c r="E478" i="5"/>
  <c r="X478" i="5" s="1"/>
  <c r="V479" i="5"/>
  <c r="E479" i="5"/>
  <c r="X479" i="5" s="1"/>
  <c r="V480" i="5"/>
  <c r="E480" i="5"/>
  <c r="X480" i="5" s="1"/>
  <c r="V481" i="5"/>
  <c r="E481" i="5"/>
  <c r="X481" i="5" s="1"/>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X493" i="5" s="1"/>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V504" i="5"/>
  <c r="E504" i="5"/>
  <c r="V505" i="5"/>
  <c r="E505" i="5"/>
  <c r="X505" i="5" s="1"/>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X541" i="5" s="1"/>
  <c r="V542" i="5"/>
  <c r="E542" i="5"/>
  <c r="V543" i="5"/>
  <c r="E543" i="5"/>
  <c r="V544" i="5"/>
  <c r="E544" i="5"/>
  <c r="X544" i="5" s="1"/>
  <c r="V545" i="5"/>
  <c r="E545" i="5"/>
  <c r="V546" i="5"/>
  <c r="E546" i="5"/>
  <c r="V547" i="5"/>
  <c r="E547" i="5"/>
  <c r="X547" i="5" s="1"/>
  <c r="V548" i="5"/>
  <c r="E548" i="5"/>
  <c r="X548" i="5" s="1"/>
  <c r="V549" i="5"/>
  <c r="E549" i="5"/>
  <c r="V550" i="5"/>
  <c r="E550" i="5"/>
  <c r="V551" i="5"/>
  <c r="E551" i="5"/>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X583" i="5" s="1"/>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X601" i="5" s="1"/>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X613" i="5" s="1"/>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X643" i="5" s="1"/>
  <c r="V644" i="5"/>
  <c r="E644" i="5"/>
  <c r="V645" i="5"/>
  <c r="E645" i="5"/>
  <c r="V646" i="5"/>
  <c r="E646" i="5"/>
  <c r="X646" i="5" s="1"/>
  <c r="V647" i="5"/>
  <c r="E647" i="5"/>
  <c r="V648" i="5"/>
  <c r="E648" i="5"/>
  <c r="V649" i="5"/>
  <c r="E649" i="5"/>
  <c r="X649" i="5" s="1"/>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X667" i="5" s="1"/>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V750" i="5"/>
  <c r="E750" i="5"/>
  <c r="V751" i="5"/>
  <c r="E751" i="5"/>
  <c r="X751" i="5" s="1"/>
  <c r="V752" i="5"/>
  <c r="E752" i="5"/>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V848" i="5"/>
  <c r="E848" i="5"/>
  <c r="X848" i="5" s="1"/>
  <c r="V849" i="5"/>
  <c r="E849" i="5"/>
  <c r="V850" i="5"/>
  <c r="E850" i="5"/>
  <c r="X850" i="5" s="1"/>
  <c r="V851" i="5"/>
  <c r="E851" i="5"/>
  <c r="V852" i="5"/>
  <c r="E852" i="5"/>
  <c r="V853" i="5"/>
  <c r="E853" i="5"/>
  <c r="X853" i="5" s="1"/>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X871" i="5" s="1"/>
  <c r="V872" i="5"/>
  <c r="E872" i="5"/>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V886" i="5"/>
  <c r="E886" i="5"/>
  <c r="V887" i="5"/>
  <c r="E887" i="5"/>
  <c r="X887" i="5" s="1"/>
  <c r="V888" i="5"/>
  <c r="E888" i="5"/>
  <c r="X888" i="5" s="1"/>
  <c r="V889" i="5"/>
  <c r="E889" i="5"/>
  <c r="X889" i="5" s="1"/>
  <c r="V890" i="5"/>
  <c r="E890" i="5"/>
  <c r="V891" i="5"/>
  <c r="E891" i="5"/>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V910" i="5"/>
  <c r="E910" i="5"/>
  <c r="X910" i="5" s="1"/>
  <c r="V911" i="5"/>
  <c r="E911" i="5"/>
  <c r="V912" i="5"/>
  <c r="E912" i="5"/>
  <c r="V913" i="5"/>
  <c r="E913" i="5"/>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V972" i="5"/>
  <c r="E972" i="5"/>
  <c r="V973" i="5"/>
  <c r="E973" i="5"/>
  <c r="X973" i="5" s="1"/>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V1018" i="5"/>
  <c r="E1018" i="5"/>
  <c r="X1018" i="5" s="1"/>
  <c r="V1019" i="5"/>
  <c r="E1019" i="5"/>
  <c r="X1019" i="5" s="1"/>
  <c r="V1020" i="5"/>
  <c r="E1020" i="5"/>
  <c r="V1021" i="5"/>
  <c r="E1021" i="5"/>
  <c r="V1022" i="5"/>
  <c r="E1022" i="5"/>
  <c r="X1022" i="5" s="1"/>
  <c r="V1023" i="5"/>
  <c r="E1023" i="5"/>
  <c r="V1024" i="5"/>
  <c r="E1024" i="5"/>
  <c r="V1025" i="5"/>
  <c r="E1025" i="5"/>
  <c r="V1026" i="5"/>
  <c r="E1026" i="5"/>
  <c r="X1026" i="5" s="1"/>
  <c r="V1027" i="5"/>
  <c r="E1027" i="5"/>
  <c r="X1027" i="5" s="1"/>
  <c r="V1028" i="5"/>
  <c r="E1028" i="5"/>
  <c r="V1029" i="5"/>
  <c r="E1029" i="5"/>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X1039" i="5" s="1"/>
  <c r="V1040" i="5"/>
  <c r="E1040" i="5"/>
  <c r="V1041" i="5"/>
  <c r="E1041" i="5"/>
  <c r="X1041" i="5" s="1"/>
  <c r="V1042" i="5"/>
  <c r="E1042" i="5"/>
  <c r="X1042" i="5" s="1"/>
  <c r="V1043" i="5"/>
  <c r="E1043" i="5"/>
  <c r="V1044" i="5"/>
  <c r="E1044" i="5"/>
  <c r="V1045" i="5"/>
  <c r="E1045" i="5"/>
  <c r="X1045" i="5" s="1"/>
  <c r="V1046" i="5"/>
  <c r="E1046" i="5"/>
  <c r="X1046" i="5" s="1"/>
  <c r="V1047" i="5"/>
  <c r="E1047" i="5"/>
  <c r="X1047" i="5" s="1"/>
  <c r="V1048" i="5"/>
  <c r="E1048" i="5"/>
  <c r="V1049" i="5"/>
  <c r="E1049" i="5"/>
  <c r="V1050" i="5"/>
  <c r="E1050" i="5"/>
  <c r="X1050" i="5" s="1"/>
  <c r="V1051" i="5"/>
  <c r="E1051" i="5"/>
  <c r="X1051" i="5" s="1"/>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V1122" i="5"/>
  <c r="E1122" i="5"/>
  <c r="X1122" i="5" s="1"/>
  <c r="V1123" i="5"/>
  <c r="E1123" i="5"/>
  <c r="X1123" i="5" s="1"/>
  <c r="V1124" i="5"/>
  <c r="E1124" i="5"/>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X1141" i="5" s="1"/>
  <c r="V1142" i="5"/>
  <c r="E1142" i="5"/>
  <c r="X1142" i="5" s="1"/>
  <c r="V1143" i="5"/>
  <c r="E1143" i="5"/>
  <c r="X1143" i="5" s="1"/>
  <c r="V1144" i="5"/>
  <c r="E1144" i="5"/>
  <c r="V1145" i="5"/>
  <c r="E1145" i="5"/>
  <c r="V1146" i="5"/>
  <c r="E1146" i="5"/>
  <c r="V1147" i="5"/>
  <c r="E1147" i="5"/>
  <c r="X1147" i="5" s="1"/>
  <c r="V1148" i="5"/>
  <c r="E1148" i="5"/>
  <c r="X1148" i="5" s="1"/>
  <c r="V1149" i="5"/>
  <c r="E1149" i="5"/>
  <c r="X1149" i="5" s="1"/>
  <c r="V1150" i="5"/>
  <c r="E1150" i="5"/>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X1231" i="5" s="1"/>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X1255" i="5" s="1"/>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V1273" i="5"/>
  <c r="E1273" i="5"/>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V1286" i="5"/>
  <c r="E1286" i="5"/>
  <c r="V1287" i="5"/>
  <c r="E1287" i="5"/>
  <c r="V1288" i="5"/>
  <c r="E1288" i="5"/>
  <c r="X1288" i="5" s="1"/>
  <c r="V1289" i="5"/>
  <c r="E1289" i="5"/>
  <c r="V1290" i="5"/>
  <c r="E1290" i="5"/>
  <c r="V1291" i="5"/>
  <c r="E1291" i="5"/>
  <c r="X1291" i="5" s="1"/>
  <c r="V1292" i="5"/>
  <c r="E1292" i="5"/>
  <c r="V1293" i="5"/>
  <c r="E1293" i="5"/>
  <c r="V1294" i="5"/>
  <c r="E1294" i="5"/>
  <c r="V1295" i="5"/>
  <c r="E1295" i="5"/>
  <c r="V1296" i="5"/>
  <c r="E1296" i="5"/>
  <c r="X1296" i="5" s="1"/>
  <c r="V1297" i="5"/>
  <c r="E1297" i="5"/>
  <c r="V1298" i="5"/>
  <c r="E1298" i="5"/>
  <c r="V1299" i="5"/>
  <c r="E1299" i="5"/>
  <c r="V1300" i="5"/>
  <c r="E1300" i="5"/>
  <c r="X1300" i="5" s="1"/>
  <c r="V1301" i="5"/>
  <c r="E1301" i="5"/>
  <c r="X1301" i="5" s="1"/>
  <c r="V1302" i="5"/>
  <c r="E1302" i="5"/>
  <c r="V1303" i="5"/>
  <c r="E1303" i="5"/>
  <c r="X1303" i="5" s="1"/>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V1314" i="5"/>
  <c r="E1314" i="5"/>
  <c r="V1315" i="5"/>
  <c r="E1315" i="5"/>
  <c r="X1315" i="5" s="1"/>
  <c r="V1316" i="5"/>
  <c r="E1316" i="5"/>
  <c r="X1316" i="5" s="1"/>
  <c r="V1317" i="5"/>
  <c r="E1317" i="5"/>
  <c r="V1318" i="5"/>
  <c r="E1318" i="5"/>
  <c r="V1319" i="5"/>
  <c r="E1319" i="5"/>
  <c r="V1320" i="5"/>
  <c r="E1320" i="5"/>
  <c r="V1321" i="5"/>
  <c r="E1321" i="5"/>
  <c r="X1321" i="5" s="1"/>
  <c r="V1322" i="5"/>
  <c r="E1322" i="5"/>
  <c r="V1323" i="5"/>
  <c r="E1323" i="5"/>
  <c r="V1324" i="5"/>
  <c r="E1324" i="5"/>
  <c r="X1324" i="5" s="1"/>
  <c r="V1325" i="5"/>
  <c r="E1325" i="5"/>
  <c r="V1326" i="5"/>
  <c r="E1326" i="5"/>
  <c r="V1327" i="5"/>
  <c r="E1327" i="5"/>
  <c r="X1327" i="5" s="1"/>
  <c r="V1328" i="5"/>
  <c r="E1328" i="5"/>
  <c r="X1328" i="5" s="1"/>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V1398" i="5"/>
  <c r="E1398" i="5"/>
  <c r="V1399" i="5"/>
  <c r="E1399" i="5"/>
  <c r="X1399" i="5" s="1"/>
  <c r="V1400" i="5"/>
  <c r="E1400" i="5"/>
  <c r="V1401" i="5"/>
  <c r="E1401" i="5"/>
  <c r="V1402" i="5"/>
  <c r="E1402" i="5"/>
  <c r="X1402" i="5" s="1"/>
  <c r="V1403" i="5"/>
  <c r="E1403" i="5"/>
  <c r="V1404" i="5"/>
  <c r="E1404" i="5"/>
  <c r="V1405" i="5"/>
  <c r="E1405" i="5"/>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X1417" i="5" s="1"/>
  <c r="V1418" i="5"/>
  <c r="E1418" i="5"/>
  <c r="X1418" i="5" s="1"/>
  <c r="V1419" i="5"/>
  <c r="E1419" i="5"/>
  <c r="X1419" i="5" s="1"/>
  <c r="V1420" i="5"/>
  <c r="E1420" i="5"/>
  <c r="V1421" i="5"/>
  <c r="E1421" i="5"/>
  <c r="V1422" i="5"/>
  <c r="E1422" i="5"/>
  <c r="X1422" i="5" s="1"/>
  <c r="V1423" i="5"/>
  <c r="E1423" i="5"/>
  <c r="X1423" i="5" s="1"/>
  <c r="V1424" i="5"/>
  <c r="E1424" i="5"/>
  <c r="X1424" i="5" s="1"/>
  <c r="V1425" i="5"/>
  <c r="E1425" i="5"/>
  <c r="V1426" i="5"/>
  <c r="E1426" i="5"/>
  <c r="V1427" i="5"/>
  <c r="E1427" i="5"/>
  <c r="X1427" i="5" s="1"/>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V1488" i="5"/>
  <c r="E1488" i="5"/>
  <c r="X1488" i="5" s="1"/>
  <c r="V1489" i="5"/>
  <c r="E1489" i="5"/>
  <c r="V1490" i="5"/>
  <c r="E1490" i="5"/>
  <c r="X1490" i="5" s="1"/>
  <c r="V1491" i="5"/>
  <c r="E1491" i="5"/>
  <c r="X1491" i="5" s="1"/>
  <c r="V1492" i="5"/>
  <c r="E1492" i="5"/>
  <c r="X1492" i="5" s="1"/>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V1504" i="5"/>
  <c r="E1504" i="5"/>
  <c r="X1504" i="5" s="1"/>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X1591" i="5" s="1"/>
  <c r="V1592" i="5"/>
  <c r="E1592" i="5"/>
  <c r="V1593" i="5"/>
  <c r="E1593" i="5"/>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V1634" i="5"/>
  <c r="E1634" i="5"/>
  <c r="V1635" i="5"/>
  <c r="E1635" i="5"/>
  <c r="V1636" i="5"/>
  <c r="E1636" i="5"/>
  <c r="V1637" i="5"/>
  <c r="E1637" i="5"/>
  <c r="X1637" i="5" s="1"/>
  <c r="V1638" i="5"/>
  <c r="E1638" i="5"/>
  <c r="V1639" i="5"/>
  <c r="E1639" i="5"/>
  <c r="V1640" i="5"/>
  <c r="E1640" i="5"/>
  <c r="X1640" i="5" s="1"/>
  <c r="V1641" i="5"/>
  <c r="E1641" i="5"/>
  <c r="V1642" i="5"/>
  <c r="E1642" i="5"/>
  <c r="V1643" i="5"/>
  <c r="E1643" i="5"/>
  <c r="V1644" i="5"/>
  <c r="E1644" i="5"/>
  <c r="V1645" i="5"/>
  <c r="E1645" i="5"/>
  <c r="X1645" i="5" s="1"/>
  <c r="V1646" i="5"/>
  <c r="E1646" i="5"/>
  <c r="V1647" i="5"/>
  <c r="E1647" i="5"/>
  <c r="V1648" i="5"/>
  <c r="E1648" i="5"/>
  <c r="X1648" i="5" s="1"/>
  <c r="V1649" i="5"/>
  <c r="E1649" i="5"/>
  <c r="X1649" i="5" s="1"/>
  <c r="V1650" i="5"/>
  <c r="E1650" i="5"/>
  <c r="V1651" i="5"/>
  <c r="E1651" i="5"/>
  <c r="X1651" i="5" s="1"/>
  <c r="V1652" i="5"/>
  <c r="E1652" i="5"/>
  <c r="V1653" i="5"/>
  <c r="E1653" i="5"/>
  <c r="V1654" i="5"/>
  <c r="E1654" i="5"/>
  <c r="V1655" i="5"/>
  <c r="E1655" i="5"/>
  <c r="V1656" i="5"/>
  <c r="E1656" i="5"/>
  <c r="X1656" i="5" s="1"/>
  <c r="V1657" i="5"/>
  <c r="E1657" i="5"/>
  <c r="X1657" i="5" s="1"/>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X1669" i="5" s="1"/>
  <c r="V1670" i="5"/>
  <c r="E1670" i="5"/>
  <c r="V1671" i="5"/>
  <c r="E1671" i="5"/>
  <c r="V1672" i="5"/>
  <c r="E1672" i="5"/>
  <c r="V1673" i="5"/>
  <c r="E1673" i="5"/>
  <c r="V1674" i="5"/>
  <c r="E1674" i="5"/>
  <c r="V1675" i="5"/>
  <c r="E1675" i="5"/>
  <c r="X1675" i="5" s="1"/>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V1699" i="5"/>
  <c r="E1699" i="5"/>
  <c r="X1699" i="5" s="1"/>
  <c r="V1700" i="5"/>
  <c r="E1700" i="5"/>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V1770" i="5"/>
  <c r="E1770" i="5"/>
  <c r="V1771" i="5"/>
  <c r="E1771" i="5"/>
  <c r="V1772" i="5"/>
  <c r="E1772" i="5"/>
  <c r="V1773" i="5"/>
  <c r="E1773" i="5"/>
  <c r="X1773" i="5" s="1"/>
  <c r="V1774" i="5"/>
  <c r="E1774" i="5"/>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X1795" i="5" s="1"/>
  <c r="V1796" i="5"/>
  <c r="E1796" i="5"/>
  <c r="V1797" i="5"/>
  <c r="E1797" i="5"/>
  <c r="V1798" i="5"/>
  <c r="E1798" i="5"/>
  <c r="X1798" i="5" s="1"/>
  <c r="V1799" i="5"/>
  <c r="E1799" i="5"/>
  <c r="V1800" i="5"/>
  <c r="E1800" i="5"/>
  <c r="V1801" i="5"/>
  <c r="E1801" i="5"/>
  <c r="V1802" i="5"/>
  <c r="E1802" i="5"/>
  <c r="X1802" i="5" s="1"/>
  <c r="V1803" i="5"/>
  <c r="E1803" i="5"/>
  <c r="V1804" i="5"/>
  <c r="E1804" i="5"/>
  <c r="V1805" i="5"/>
  <c r="E1805" i="5"/>
  <c r="X1805" i="5" s="1"/>
  <c r="V1806" i="5"/>
  <c r="E1806" i="5"/>
  <c r="X1806" i="5" s="1"/>
  <c r="V1807" i="5"/>
  <c r="E1807" i="5"/>
  <c r="X1807" i="5" s="1"/>
  <c r="V1808" i="5"/>
  <c r="E1808" i="5"/>
  <c r="X1808" i="5" s="1"/>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V1820" i="5"/>
  <c r="E1820" i="5"/>
  <c r="X1820" i="5" s="1"/>
  <c r="V1821" i="5"/>
  <c r="E1821" i="5"/>
  <c r="V1822" i="5"/>
  <c r="E1822" i="5"/>
  <c r="V1823" i="5"/>
  <c r="E1823" i="5"/>
  <c r="X1823" i="5" s="1"/>
  <c r="V1824" i="5"/>
  <c r="E1824" i="5"/>
  <c r="X1824" i="5" s="1"/>
  <c r="V1825" i="5"/>
  <c r="E1825" i="5"/>
  <c r="X1825" i="5" s="1"/>
  <c r="V1826" i="5"/>
  <c r="E1826" i="5"/>
  <c r="V1827" i="5"/>
  <c r="E1827" i="5"/>
  <c r="X1827" i="5" s="1"/>
  <c r="V1828" i="5"/>
  <c r="E1828" i="5"/>
  <c r="V1829" i="5"/>
  <c r="E1829" i="5"/>
  <c r="V1830" i="5"/>
  <c r="E1830" i="5"/>
  <c r="X1830" i="5" s="1"/>
  <c r="V1831" i="5"/>
  <c r="E1831" i="5"/>
  <c r="V1832" i="5"/>
  <c r="E1832" i="5"/>
  <c r="V1833" i="5"/>
  <c r="E1833" i="5"/>
  <c r="V1834" i="5"/>
  <c r="E1834" i="5"/>
  <c r="V1835" i="5"/>
  <c r="E1835" i="5"/>
  <c r="V1836" i="5"/>
  <c r="E1836" i="5"/>
  <c r="X1836" i="5" s="1"/>
  <c r="V1837" i="5"/>
  <c r="E1837" i="5"/>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X1849" i="5" s="1"/>
  <c r="V1850" i="5"/>
  <c r="E1850" i="5"/>
  <c r="V1851" i="5"/>
  <c r="E1851" i="5"/>
  <c r="X1851" i="5" s="1"/>
  <c r="V1852" i="5"/>
  <c r="E1852" i="5"/>
  <c r="V1853" i="5"/>
  <c r="E1853" i="5"/>
  <c r="V1854" i="5"/>
  <c r="E1854" i="5"/>
  <c r="V1855" i="5"/>
  <c r="E1855" i="5"/>
  <c r="X1855" i="5" s="1"/>
  <c r="V1856" i="5"/>
  <c r="E1856" i="5"/>
  <c r="V1857" i="5"/>
  <c r="E1857" i="5"/>
  <c r="V1858" i="5"/>
  <c r="E1858" i="5"/>
  <c r="V1859" i="5"/>
  <c r="E1859" i="5"/>
  <c r="V1860" i="5"/>
  <c r="E1860" i="5"/>
  <c r="V1861" i="5"/>
  <c r="E1861" i="5"/>
  <c r="X1861" i="5" s="1"/>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X1951" i="5" s="1"/>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V2049" i="5"/>
  <c r="E2049" i="5"/>
  <c r="V2050" i="5"/>
  <c r="E2050" i="5"/>
  <c r="V2051" i="5"/>
  <c r="E2051" i="5"/>
  <c r="X2051" i="5" s="1"/>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V2070" i="5"/>
  <c r="E2070" i="5"/>
  <c r="V2071" i="5"/>
  <c r="E2071" i="5"/>
  <c r="X2071" i="5" s="1"/>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X2081" i="5" s="1"/>
  <c r="V2082" i="5"/>
  <c r="E2082" i="5"/>
  <c r="V2083" i="5"/>
  <c r="E2083" i="5"/>
  <c r="X2083" i="5" s="1"/>
  <c r="V2084" i="5"/>
  <c r="E2084" i="5"/>
  <c r="X2084" i="5" s="1"/>
  <c r="V2085" i="5"/>
  <c r="E2085" i="5"/>
  <c r="V2086" i="5"/>
  <c r="E2086" i="5"/>
  <c r="V2087" i="5"/>
  <c r="E2087" i="5"/>
  <c r="X2087" i="5" s="1"/>
  <c r="V2088" i="5"/>
  <c r="E2088" i="5"/>
  <c r="V2089" i="5"/>
  <c r="E2089" i="5"/>
  <c r="X2089" i="5" s="1"/>
  <c r="V2090" i="5"/>
  <c r="E2090" i="5"/>
  <c r="V2091" i="5"/>
  <c r="E2091" i="5"/>
  <c r="V2092" i="5"/>
  <c r="E2092" i="5"/>
  <c r="V2093" i="5"/>
  <c r="E2093" i="5"/>
  <c r="X2093" i="5" s="1"/>
  <c r="V2094" i="5"/>
  <c r="E2094" i="5"/>
  <c r="V2095" i="5"/>
  <c r="E2095" i="5"/>
  <c r="V2096" i="5"/>
  <c r="E2096" i="5"/>
  <c r="X2096" i="5" s="1"/>
  <c r="V2097" i="5"/>
  <c r="E2097" i="5"/>
  <c r="X2097" i="5" s="1"/>
  <c r="V2098" i="5"/>
  <c r="E2098" i="5"/>
  <c r="V2099" i="5"/>
  <c r="E2099" i="5"/>
  <c r="V2100" i="5"/>
  <c r="E2100" i="5"/>
  <c r="V2101" i="5"/>
  <c r="E2101" i="5"/>
  <c r="X2101" i="5" s="1"/>
  <c r="V2102" i="5"/>
  <c r="E2102" i="5"/>
  <c r="V2103" i="5"/>
  <c r="E2103" i="5"/>
  <c r="V2104" i="5"/>
  <c r="E2104" i="5"/>
  <c r="X2104" i="5" s="1"/>
  <c r="V2105" i="5"/>
  <c r="E2105" i="5"/>
  <c r="V2106" i="5"/>
  <c r="E2106" i="5"/>
  <c r="V2107" i="5"/>
  <c r="E2107" i="5"/>
  <c r="X2107" i="5" s="1"/>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X2121" i="5" s="1"/>
  <c r="V2122" i="5"/>
  <c r="E2122" i="5"/>
  <c r="V2123" i="5"/>
  <c r="E2123" i="5"/>
  <c r="V2124" i="5"/>
  <c r="E2124" i="5"/>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V2155" i="5"/>
  <c r="E2155" i="5"/>
  <c r="X2155" i="5" s="1"/>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V2165" i="5"/>
  <c r="E2165" i="5"/>
  <c r="V2166" i="5"/>
  <c r="E2166" i="5"/>
  <c r="X2166" i="5" s="1"/>
  <c r="V2167" i="5"/>
  <c r="E2167" i="5"/>
  <c r="V2168" i="5"/>
  <c r="E2168" i="5"/>
  <c r="V2169" i="5"/>
  <c r="E2169" i="5"/>
  <c r="X2169" i="5" s="1"/>
  <c r="V2170" i="5"/>
  <c r="E2170" i="5"/>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X2188" i="5" s="1"/>
  <c r="V2189" i="5"/>
  <c r="E2189" i="5"/>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V2198" i="5"/>
  <c r="E2198" i="5"/>
  <c r="V2199" i="5"/>
  <c r="E2199" i="5"/>
  <c r="X2199" i="5" s="1"/>
  <c r="V2200" i="5"/>
  <c r="E2200" i="5"/>
  <c r="V2201" i="5"/>
  <c r="E2201" i="5"/>
  <c r="X2201" i="5" s="1"/>
  <c r="V2202" i="5"/>
  <c r="E2202" i="5"/>
  <c r="X2202" i="5" s="1"/>
  <c r="V2203" i="5"/>
  <c r="E2203" i="5"/>
  <c r="X2203" i="5" s="1"/>
  <c r="V2204" i="5"/>
  <c r="E2204" i="5"/>
  <c r="X2204" i="5" s="1"/>
  <c r="V2205" i="5"/>
  <c r="E2205" i="5"/>
  <c r="V2206" i="5"/>
  <c r="E2206" i="5"/>
  <c r="V2207" i="5"/>
  <c r="E2207" i="5"/>
  <c r="X2207" i="5" s="1"/>
  <c r="V2208" i="5"/>
  <c r="E2208" i="5"/>
  <c r="V2209" i="5"/>
  <c r="E2209" i="5"/>
  <c r="X2209" i="5" s="1"/>
  <c r="V2210" i="5"/>
  <c r="E2210" i="5"/>
  <c r="X2210" i="5" s="1"/>
  <c r="V2211" i="5"/>
  <c r="E2211" i="5"/>
  <c r="V2212" i="5"/>
  <c r="E2212" i="5"/>
  <c r="X2212" i="5" s="1"/>
  <c r="V2213" i="5"/>
  <c r="E2213" i="5"/>
  <c r="V2214" i="5"/>
  <c r="E2214" i="5"/>
  <c r="V2215" i="5"/>
  <c r="E2215" i="5"/>
  <c r="X2215" i="5" s="1"/>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X2257" i="5" s="1"/>
  <c r="V2258" i="5"/>
  <c r="E2258" i="5"/>
  <c r="V2259" i="5"/>
  <c r="E2259" i="5"/>
  <c r="V2260" i="5"/>
  <c r="E2260" i="5"/>
  <c r="X2260" i="5" s="1"/>
  <c r="V2261" i="5"/>
  <c r="E2261" i="5"/>
  <c r="X2261" i="5" s="1"/>
  <c r="V2262" i="5"/>
  <c r="E2262" i="5"/>
  <c r="V2263" i="5"/>
  <c r="E2263" i="5"/>
  <c r="X2263" i="5" s="1"/>
  <c r="V2264" i="5"/>
  <c r="E2264" i="5"/>
  <c r="X2264" i="5" s="1"/>
  <c r="V2265" i="5"/>
  <c r="E2265" i="5"/>
  <c r="V2266" i="5"/>
  <c r="E2266" i="5"/>
  <c r="V2267" i="5"/>
  <c r="E2267" i="5"/>
  <c r="X2267" i="5" s="1"/>
  <c r="V2268" i="5"/>
  <c r="E2268" i="5"/>
  <c r="X2268" i="5" s="1"/>
  <c r="V2269" i="5"/>
  <c r="E2269" i="5"/>
  <c r="X2269" i="5" s="1"/>
  <c r="V2270" i="5"/>
  <c r="E2270" i="5"/>
  <c r="V2271" i="5"/>
  <c r="E2271" i="5"/>
  <c r="V2272" i="5"/>
  <c r="E2272" i="5"/>
  <c r="V2273" i="5"/>
  <c r="E2273" i="5"/>
  <c r="X2273" i="5" s="1"/>
  <c r="V2274" i="5"/>
  <c r="E2274" i="5"/>
  <c r="X2274" i="5" s="1"/>
  <c r="V2275" i="5"/>
  <c r="E2275" i="5"/>
  <c r="X2275" i="5" s="1"/>
  <c r="V2276" i="5"/>
  <c r="E2276" i="5"/>
  <c r="V2277" i="5"/>
  <c r="E2277" i="5"/>
  <c r="X2277" i="5" s="1"/>
  <c r="V2278" i="5"/>
  <c r="E2278" i="5"/>
  <c r="V2279" i="5"/>
  <c r="E2279" i="5"/>
  <c r="V2280" i="5"/>
  <c r="E2280" i="5"/>
  <c r="X2280" i="5" s="1"/>
  <c r="V2281" i="5"/>
  <c r="E2281" i="5"/>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V2291" i="5"/>
  <c r="E2291" i="5"/>
  <c r="V2292" i="5"/>
  <c r="E2292" i="5"/>
  <c r="V2293" i="5"/>
  <c r="E2293" i="5"/>
  <c r="V2294" i="5"/>
  <c r="E2294" i="5"/>
  <c r="X2294" i="5" s="1"/>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V2318" i="5"/>
  <c r="E2318" i="5"/>
  <c r="V2319" i="5"/>
  <c r="E2319" i="5"/>
  <c r="V2320" i="5"/>
  <c r="E2320" i="5"/>
  <c r="X2320" i="5" s="1"/>
  <c r="V2321" i="5"/>
  <c r="E2321" i="5"/>
  <c r="X2321" i="5" s="1"/>
  <c r="V2322" i="5"/>
  <c r="E2322" i="5"/>
  <c r="X2322" i="5" s="1"/>
  <c r="V2323" i="5"/>
  <c r="E2323" i="5"/>
  <c r="V2324" i="5"/>
  <c r="E2324" i="5"/>
  <c r="X2324" i="5" s="1"/>
  <c r="V2325" i="5"/>
  <c r="E2325" i="5"/>
  <c r="V2326" i="5"/>
  <c r="E2326" i="5"/>
  <c r="V2327" i="5"/>
  <c r="E2327" i="5"/>
  <c r="V2328" i="5"/>
  <c r="E2328" i="5"/>
  <c r="V2329" i="5"/>
  <c r="E2329" i="5"/>
  <c r="X2329" i="5" s="1"/>
  <c r="V2330" i="5"/>
  <c r="E2330" i="5"/>
  <c r="V2331" i="5"/>
  <c r="E2331" i="5"/>
  <c r="V2332" i="5"/>
  <c r="E2332" i="5"/>
  <c r="V2333" i="5"/>
  <c r="E2333" i="5"/>
  <c r="X2333" i="5" s="1"/>
  <c r="V2334" i="5"/>
  <c r="E2334" i="5"/>
  <c r="V2335" i="5"/>
  <c r="E2335" i="5"/>
  <c r="X2335" i="5" s="1"/>
  <c r="V2336" i="5"/>
  <c r="E2336" i="5"/>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V2407" i="5"/>
  <c r="E2407" i="5"/>
  <c r="V2408" i="5"/>
  <c r="E2408" i="5"/>
  <c r="X2408" i="5" s="1"/>
  <c r="V2409" i="5"/>
  <c r="E2409" i="5"/>
  <c r="V2410" i="5"/>
  <c r="E2410" i="5"/>
  <c r="V2411" i="5"/>
  <c r="E2411" i="5"/>
  <c r="V2412" i="5"/>
  <c r="E2412" i="5"/>
  <c r="X2412" i="5" s="1"/>
  <c r="V2413" i="5"/>
  <c r="E2413" i="5"/>
  <c r="X2413" i="5" s="1"/>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V2425" i="5"/>
  <c r="E2425" i="5"/>
  <c r="X2425" i="5" s="1"/>
  <c r="V2426" i="5"/>
  <c r="E2426" i="5"/>
  <c r="V2427" i="5"/>
  <c r="E2427" i="5"/>
  <c r="V2428" i="5"/>
  <c r="E2428" i="5"/>
  <c r="V2429" i="5"/>
  <c r="E2429" i="5"/>
  <c r="V2430" i="5"/>
  <c r="E2430" i="5"/>
  <c r="V2431" i="5"/>
  <c r="E2431" i="5"/>
  <c r="X2431" i="5" s="1"/>
  <c r="V2432" i="5"/>
  <c r="E2432" i="5"/>
  <c r="V2433" i="5"/>
  <c r="E2433" i="5"/>
  <c r="X2433" i="5" s="1"/>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c r="H14" i="6"/>
  <c r="H13" i="6"/>
  <c r="B12" i="6"/>
  <c r="G12" i="6"/>
  <c r="H12" i="6" s="1"/>
  <c r="D12" i="6" s="1"/>
  <c r="B11" i="6"/>
  <c r="G11" i="6"/>
  <c r="H11" i="6"/>
  <c r="D11" i="6" s="1"/>
  <c r="G9" i="6"/>
  <c r="H9" i="6" s="1"/>
  <c r="D9" i="6" s="1"/>
  <c r="B8" i="6"/>
  <c r="G8" i="6"/>
  <c r="H8" i="6" s="1"/>
  <c r="D8" i="6" s="1"/>
  <c r="B7" i="6"/>
  <c r="G7" i="6"/>
  <c r="H7" i="6"/>
  <c r="D7" i="6" s="1"/>
  <c r="B6" i="6"/>
  <c r="G6" i="6"/>
  <c r="B5"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R85" i="5"/>
  <c r="R81" i="5"/>
  <c r="R80" i="5"/>
  <c r="R78" i="5"/>
  <c r="R76" i="5"/>
  <c r="R72" i="5"/>
  <c r="R69" i="5"/>
  <c r="R68" i="5"/>
  <c r="R66" i="5"/>
  <c r="R65" i="5"/>
  <c r="R64" i="5"/>
  <c r="R62" i="5"/>
  <c r="R60" i="5"/>
  <c r="R56" i="5"/>
  <c r="R53" i="5"/>
  <c r="R52" i="5"/>
  <c r="R50" i="5"/>
  <c r="R49" i="5"/>
  <c r="R48" i="5"/>
  <c r="R46" i="5"/>
  <c r="R44" i="5"/>
  <c r="R40" i="5"/>
  <c r="R37" i="5"/>
  <c r="R36" i="5"/>
  <c r="R34" i="5"/>
  <c r="R33" i="5"/>
  <c r="R32" i="5"/>
  <c r="R20" i="5"/>
  <c r="AB18" i="5"/>
  <c r="R6" i="5"/>
  <c r="AB6" i="5"/>
  <c r="B90" i="4"/>
  <c r="H67" i="4"/>
  <c r="P47" i="4"/>
  <c r="P46" i="4"/>
  <c r="P45" i="4"/>
  <c r="B45" i="4" s="1"/>
  <c r="P44" i="4"/>
  <c r="P43" i="4"/>
  <c r="Q43" i="4"/>
  <c r="P41" i="4"/>
  <c r="P40" i="4"/>
  <c r="P39" i="4"/>
  <c r="P38" i="4"/>
  <c r="P37" i="4"/>
  <c r="Q37" i="4" s="1"/>
  <c r="P35" i="4"/>
  <c r="P34" i="4"/>
  <c r="P33" i="4"/>
  <c r="P32" i="4"/>
  <c r="P31" i="4"/>
  <c r="Q31" i="4"/>
  <c r="P29" i="4"/>
  <c r="B29" i="4" s="1"/>
  <c r="A17" i="6" s="1"/>
  <c r="P28" i="4"/>
  <c r="P27" i="4"/>
  <c r="B27" i="4"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79" i="5"/>
  <c r="X47" i="5"/>
  <c r="H127" i="5"/>
  <c r="R127" i="5"/>
  <c r="J127" i="5"/>
  <c r="I127" i="5"/>
  <c r="AB895" i="5"/>
  <c r="S895" i="5"/>
  <c r="AB1863" i="5"/>
  <c r="S1863" i="5"/>
  <c r="R54" i="5"/>
  <c r="I90" i="5"/>
  <c r="H123" i="5"/>
  <c r="J123" i="5"/>
  <c r="I123" i="5"/>
  <c r="R189" i="5"/>
  <c r="AB210" i="5"/>
  <c r="R225" i="5"/>
  <c r="F225" i="5"/>
  <c r="F309" i="5"/>
  <c r="F357" i="5"/>
  <c r="R463" i="5"/>
  <c r="F586" i="5"/>
  <c r="I714" i="5"/>
  <c r="J714" i="5"/>
  <c r="S738" i="5"/>
  <c r="R94" i="5"/>
  <c r="H94" i="5"/>
  <c r="AB170" i="5"/>
  <c r="H452" i="5"/>
  <c r="F452" i="5"/>
  <c r="S1497" i="5"/>
  <c r="X63" i="5"/>
  <c r="I126" i="5"/>
  <c r="H126" i="5"/>
  <c r="H147" i="5"/>
  <c r="I147" i="5"/>
  <c r="F147" i="5"/>
  <c r="R237" i="5"/>
  <c r="F237" i="5"/>
  <c r="J262" i="5"/>
  <c r="AB262" i="5"/>
  <c r="AB298" i="5"/>
  <c r="F451" i="5"/>
  <c r="R453" i="5"/>
  <c r="J453" i="5"/>
  <c r="H453" i="5"/>
  <c r="F453" i="5"/>
  <c r="H107" i="5"/>
  <c r="I107" i="5"/>
  <c r="R125" i="5"/>
  <c r="AB1447" i="5"/>
  <c r="S1447" i="5"/>
  <c r="R22"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F109" i="5"/>
  <c r="R109" i="5"/>
  <c r="R133" i="5"/>
  <c r="F133" i="5"/>
  <c r="F169" i="5"/>
  <c r="R169" i="5"/>
  <c r="H195" i="5"/>
  <c r="F195" i="5"/>
  <c r="R195" i="5"/>
  <c r="I195" i="5"/>
  <c r="J195" i="5"/>
  <c r="R67" i="5"/>
  <c r="X67" i="5"/>
  <c r="R19" i="5"/>
  <c r="X19" i="5"/>
  <c r="X35" i="5"/>
  <c r="H139" i="5"/>
  <c r="R139" i="5"/>
  <c r="J139" i="5"/>
  <c r="I139" i="5"/>
  <c r="F139" i="5"/>
  <c r="F193" i="5"/>
  <c r="H227" i="5"/>
  <c r="R227" i="5"/>
  <c r="F227" i="5"/>
  <c r="J227" i="5"/>
  <c r="I227" i="5"/>
  <c r="R41" i="5"/>
  <c r="X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X27" i="5"/>
  <c r="R27" i="5"/>
  <c r="X83" i="5"/>
  <c r="R51" i="5"/>
  <c r="X51" i="5"/>
  <c r="R77" i="5"/>
  <c r="X77" i="5"/>
  <c r="R89" i="5"/>
  <c r="X89" i="5"/>
  <c r="I89" i="5"/>
  <c r="F129" i="5"/>
  <c r="H199" i="5"/>
  <c r="R199" i="5"/>
  <c r="J199" i="5"/>
  <c r="I199" i="5"/>
  <c r="F199" i="5"/>
  <c r="H131" i="5"/>
  <c r="F131" i="5"/>
  <c r="X131" i="5"/>
  <c r="I131" i="5"/>
  <c r="R131" i="5"/>
  <c r="J131" i="5"/>
  <c r="R57" i="5"/>
  <c r="X57" i="5"/>
  <c r="F105" i="5"/>
  <c r="R105" i="5"/>
  <c r="H119" i="5"/>
  <c r="F119" i="5"/>
  <c r="I119" i="5"/>
  <c r="X119" i="5"/>
  <c r="R119" i="5"/>
  <c r="J119" i="5"/>
  <c r="R197" i="5"/>
  <c r="F197" i="5"/>
  <c r="H223" i="5"/>
  <c r="R223" i="5"/>
  <c r="J223" i="5"/>
  <c r="F223" i="5"/>
  <c r="I223" i="5"/>
  <c r="R229" i="5"/>
  <c r="F229" i="5"/>
  <c r="R337" i="5"/>
  <c r="J337" i="5"/>
  <c r="H337" i="5"/>
  <c r="F337" i="5"/>
  <c r="X31" i="5"/>
  <c r="F113"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45" i="5"/>
  <c r="X55"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AB32" i="5"/>
  <c r="X53"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9"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18" i="5"/>
  <c r="R23" i="5"/>
  <c r="R26" i="5"/>
  <c r="R31" i="5"/>
  <c r="X40"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I881" i="5"/>
  <c r="I897" i="5"/>
  <c r="I913" i="5"/>
  <c r="X913" i="5"/>
  <c r="AB934" i="5"/>
  <c r="X951"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X1273" i="5"/>
  <c r="R1273" i="5"/>
  <c r="R1277" i="5"/>
  <c r="R1281" i="5"/>
  <c r="R1289" i="5"/>
  <c r="X1293"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R1565" i="5"/>
  <c r="J1565" i="5"/>
  <c r="R1569" i="5"/>
  <c r="J1569" i="5"/>
  <c r="R1573" i="5"/>
  <c r="J1573" i="5"/>
  <c r="R1577" i="5"/>
  <c r="X1581" i="5"/>
  <c r="R1581" i="5"/>
  <c r="J1581" i="5"/>
  <c r="R1585" i="5"/>
  <c r="J1585" i="5"/>
  <c r="R1589" i="5"/>
  <c r="J1589" i="5"/>
  <c r="R1597" i="5"/>
  <c r="J1597" i="5"/>
  <c r="R1601" i="5"/>
  <c r="J1601" i="5"/>
  <c r="X1605"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8"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H2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16" i="6"/>
  <c r="H16" i="6"/>
  <c r="D16" i="6" s="1"/>
  <c r="B19" i="6"/>
  <c r="A38" i="2"/>
  <c r="J4" i="5"/>
  <c r="B41" i="4"/>
  <c r="A27" i="6" s="1"/>
  <c r="A55" i="2"/>
  <c r="A73" i="2"/>
  <c r="B9" i="3"/>
  <c r="A3" i="2"/>
  <c r="A20" i="2"/>
  <c r="B17" i="3"/>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D74" i="4" s="1"/>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43" i="4" s="1"/>
  <c r="B44" i="4"/>
  <c r="A29" i="6" s="1"/>
  <c r="B49" i="4"/>
  <c r="A33" i="6" s="1"/>
  <c r="B85" i="4"/>
  <c r="A60" i="6" s="1"/>
  <c r="A4" i="5"/>
  <c r="I4" i="5"/>
  <c r="I14" i="6"/>
  <c r="C14" i="6" s="1"/>
  <c r="I15" i="6"/>
  <c r="I16" i="6"/>
  <c r="I17" i="6"/>
  <c r="J24" i="6"/>
  <c r="I25" i="6"/>
  <c r="J36" i="6"/>
  <c r="I37" i="6"/>
  <c r="J44" i="6"/>
  <c r="I45" i="6"/>
  <c r="J52" i="6"/>
  <c r="J62" i="6"/>
  <c r="I63" i="6"/>
  <c r="I64" i="6"/>
  <c r="J65" i="6"/>
  <c r="I66" i="6"/>
  <c r="B58"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26" i="5"/>
  <c r="S479" i="5"/>
  <c r="S143" i="5"/>
  <c r="S175" i="5"/>
  <c r="S57" i="5"/>
  <c r="S89" i="5"/>
  <c r="S155" i="5"/>
  <c r="S157" i="5"/>
  <c r="S364" i="5"/>
  <c r="S304" i="5"/>
  <c r="S392" i="5"/>
  <c r="S348" i="5"/>
  <c r="S433" i="5"/>
  <c r="S444" i="5"/>
  <c r="S584" i="5"/>
  <c r="S51" i="5"/>
  <c r="S99" i="5"/>
  <c r="S235" i="5"/>
  <c r="S271" i="5"/>
  <c r="S291" i="5"/>
  <c r="S396" i="5"/>
  <c r="S400" i="5"/>
  <c r="S405" i="5"/>
  <c r="S413" i="5"/>
  <c r="S453" i="5"/>
  <c r="S420" i="5"/>
  <c r="S448" i="5"/>
  <c r="S210"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198" i="5"/>
  <c r="X134" i="5"/>
  <c r="X234" i="5"/>
  <c r="X174" i="5"/>
  <c r="X353" i="5"/>
  <c r="X34" i="5"/>
  <c r="S343" i="5"/>
  <c r="X158" i="5"/>
  <c r="X331" i="5"/>
  <c r="X246" i="5"/>
  <c r="X114" i="5"/>
  <c r="X333" i="5"/>
  <c r="X82" i="5"/>
  <c r="X451" i="5"/>
  <c r="X78" i="5"/>
  <c r="X335" i="5"/>
  <c r="X282" i="5"/>
  <c r="X206" i="5"/>
  <c r="X162" i="5"/>
  <c r="X38" i="5"/>
  <c r="X138" i="5"/>
  <c r="X142" i="5"/>
  <c r="X126" i="5"/>
  <c r="X278" i="5"/>
  <c r="X182" i="5"/>
  <c r="X218" i="5"/>
  <c r="X86" i="5"/>
  <c r="X202" i="5"/>
  <c r="X369" i="5"/>
  <c r="X46" i="5"/>
  <c r="X315" i="5"/>
  <c r="S315" i="5"/>
  <c r="X96" i="5"/>
  <c r="X48" i="5"/>
  <c r="X22" i="5"/>
  <c r="X327" i="5"/>
  <c r="X118" i="5"/>
  <c r="X311"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41" i="6"/>
  <c r="G41" i="6" s="1"/>
  <c r="J306" i="5"/>
  <c r="J2417" i="5"/>
  <c r="J2160" i="5"/>
  <c r="F1876" i="5"/>
  <c r="X1801" i="5"/>
  <c r="R1770" i="5"/>
  <c r="R1700" i="5"/>
  <c r="X1577" i="5"/>
  <c r="I1696" i="5"/>
  <c r="I1672" i="5"/>
  <c r="F1126" i="5"/>
  <c r="F875" i="5"/>
  <c r="R888"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H46" i="6" s="1"/>
  <c r="X18" i="5"/>
  <c r="B37" i="6"/>
  <c r="G37" i="6"/>
  <c r="X6" i="5"/>
  <c r="B39" i="6"/>
  <c r="G39" i="6" s="1"/>
  <c r="F24" i="6"/>
  <c r="B44" i="6"/>
  <c r="G44" i="6" s="1"/>
  <c r="B49" i="6"/>
  <c r="G49" i="6"/>
  <c r="B34" i="6"/>
  <c r="G34" i="6"/>
  <c r="B29" i="6"/>
  <c r="G29" i="6"/>
  <c r="B24" i="6"/>
  <c r="G24" i="6"/>
  <c r="G19" i="6"/>
  <c r="H19" i="6"/>
  <c r="D19" i="6" s="1"/>
  <c r="F2426" i="5"/>
  <c r="X2426" i="5"/>
  <c r="R2426" i="5"/>
  <c r="J2426" i="5"/>
  <c r="I2426" i="5"/>
  <c r="H2426" i="5"/>
  <c r="F2446" i="5"/>
  <c r="H2446" i="5"/>
  <c r="X2446" i="5"/>
  <c r="J2446" i="5"/>
  <c r="I2446" i="5"/>
  <c r="R2446" i="5"/>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61" i="4"/>
  <c r="D43" i="4"/>
  <c r="D31" i="4"/>
  <c r="D67" i="4"/>
  <c r="D55" i="4"/>
  <c r="B35" i="4"/>
  <c r="A22" i="6" s="1"/>
  <c r="B46" i="6"/>
  <c r="G46" i="6"/>
  <c r="G21" i="6"/>
  <c r="H21" i="6" s="1"/>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B69" i="4"/>
  <c r="A50" i="6" s="1"/>
  <c r="F67" i="6"/>
  <c r="F36" i="6"/>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32" i="4"/>
  <c r="A19"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9" i="6"/>
  <c r="H39" i="6" s="1"/>
  <c r="F65" i="6"/>
  <c r="F29" i="6"/>
  <c r="H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38"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0" i="5"/>
  <c r="S369" i="5"/>
  <c r="S381" i="5"/>
  <c r="S309" i="5"/>
  <c r="X589" i="5"/>
  <c r="X354" i="5"/>
  <c r="X597" i="5"/>
  <c r="S597" i="5"/>
  <c r="X599" i="5"/>
  <c r="S599" i="5"/>
  <c r="X465" i="5"/>
  <c r="X462" i="5"/>
  <c r="X346" i="5"/>
  <c r="X140" i="5"/>
  <c r="X502" i="5"/>
  <c r="X611" i="5"/>
  <c r="S611" i="5"/>
  <c r="X220" i="5"/>
  <c r="X398" i="5"/>
  <c r="X538" i="5"/>
  <c r="X577"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108" i="5"/>
  <c r="X112" i="5"/>
  <c r="X569" i="5"/>
  <c r="X168" i="5"/>
  <c r="X164" i="5"/>
  <c r="X446" i="5"/>
  <c r="X553" i="5"/>
  <c r="X308" i="5"/>
  <c r="X200" i="5"/>
  <c r="X316" i="5"/>
  <c r="X144" i="5"/>
  <c r="X208" i="5"/>
  <c r="X382" i="5"/>
  <c r="S382" i="5"/>
  <c r="X224" i="5"/>
  <c r="X256" i="5"/>
  <c r="X288" i="5"/>
  <c r="X390" i="5"/>
  <c r="X52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435" i="5"/>
  <c r="X576" i="5"/>
  <c r="X43" i="5"/>
  <c r="X215" i="5"/>
  <c r="X580" i="5"/>
  <c r="X201" i="5"/>
  <c r="X556" i="5"/>
  <c r="X87" i="5"/>
  <c r="X314" i="5"/>
  <c r="S314" i="5"/>
  <c r="X463" i="5"/>
  <c r="X136" i="5"/>
  <c r="X474" i="5"/>
  <c r="X593" i="5"/>
  <c r="X414" i="5"/>
  <c r="X160" i="5"/>
  <c r="X460" i="5"/>
  <c r="X196" i="5"/>
  <c r="X240" i="5"/>
  <c r="X272" i="5"/>
  <c r="X585" i="5"/>
  <c r="X120" i="5"/>
  <c r="X252" i="5"/>
  <c r="X284" i="5"/>
  <c r="X419" i="5"/>
  <c r="X261" i="5"/>
  <c r="X293" i="5"/>
  <c r="X239" i="5"/>
  <c r="X608" i="5"/>
  <c r="X71" i="5"/>
  <c r="X574" i="5"/>
  <c r="D39" i="6"/>
  <c r="H24" i="6"/>
  <c r="AB12" i="5"/>
  <c r="AB9" i="5"/>
  <c r="AB10" i="5"/>
  <c r="AB14" i="5"/>
  <c r="AB17" i="5"/>
  <c r="AB16" i="5"/>
  <c r="AB8" i="5"/>
  <c r="AB13" i="5"/>
  <c r="AB15" i="5"/>
  <c r="AB11" i="5"/>
  <c r="AB7" i="5"/>
  <c r="C69" i="6"/>
  <c r="K65"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3" i="5"/>
  <c r="X10" i="5"/>
  <c r="X9" i="5"/>
  <c r="X12" i="5"/>
  <c r="X14" i="5"/>
  <c r="X17" i="5"/>
  <c r="X11" i="5"/>
  <c r="X15" i="5"/>
  <c r="X8" i="5"/>
  <c r="X7" i="5"/>
  <c r="X16" i="5"/>
  <c r="S65" i="5"/>
  <c r="S87" i="5"/>
  <c r="S67" i="5"/>
  <c r="S78" i="5"/>
  <c r="S37" i="5"/>
  <c r="S52" i="5"/>
  <c r="S39" i="5"/>
  <c r="S6" i="5"/>
  <c r="S79" i="5"/>
  <c r="S46" i="5"/>
  <c r="S50" i="5"/>
  <c r="S12" i="5"/>
  <c r="S23" i="5"/>
  <c r="S59" i="5"/>
  <c r="S43" i="5"/>
  <c r="S66" i="5"/>
  <c r="S24" i="5"/>
  <c r="S44" i="5"/>
  <c r="S14" i="5"/>
  <c r="S80" i="5"/>
  <c r="S81" i="5"/>
  <c r="S71" i="5"/>
  <c r="S17" i="5"/>
  <c r="T30" i="5"/>
  <c r="S61" i="5"/>
  <c r="T38" i="5"/>
  <c r="S9" i="5"/>
  <c r="S72" i="5"/>
  <c r="S28" i="5"/>
  <c r="S15" i="5"/>
  <c r="S13" i="5"/>
  <c r="S83" i="5"/>
  <c r="S64" i="5"/>
  <c r="S35" i="5"/>
  <c r="S40" i="5"/>
  <c r="S16" i="5"/>
  <c r="S53" i="5"/>
  <c r="S25" i="5"/>
  <c r="S62" i="5"/>
  <c r="S77" i="5"/>
  <c r="S20" i="5"/>
  <c r="S42" i="5"/>
  <c r="S84" i="5"/>
  <c r="S68" i="5"/>
  <c r="S11" i="5"/>
  <c r="S8" i="5"/>
  <c r="S34" i="5"/>
  <c r="S18" i="5"/>
  <c r="S86" i="5"/>
  <c r="G64" i="6" a="1"/>
  <c r="S31" i="5"/>
  <c r="S45" i="5"/>
  <c r="S29" i="5"/>
  <c r="S73" i="5"/>
  <c r="S74" i="5"/>
  <c r="S75" i="5"/>
  <c r="S21" i="5"/>
  <c r="S19" i="5"/>
  <c r="S10" i="5"/>
  <c r="S48" i="5"/>
  <c r="S55" i="5"/>
  <c r="S5" i="5"/>
  <c r="S22" i="5"/>
  <c r="T67" i="5"/>
  <c r="S7" i="5"/>
  <c r="S82" i="5"/>
  <c r="T26" i="5"/>
  <c r="T65" i="5"/>
  <c r="S47" i="5"/>
  <c r="S76" i="5"/>
  <c r="S32" i="5"/>
  <c r="S36" i="5"/>
  <c r="S58" i="5"/>
  <c r="S49" i="5"/>
  <c r="S63" i="5"/>
  <c r="S69" i="5"/>
  <c r="S85" i="5"/>
  <c r="S54" i="5"/>
  <c r="S41" i="5"/>
  <c r="S56" i="5"/>
  <c r="S27" i="5"/>
  <c r="S60" i="5"/>
  <c r="T51" i="5"/>
  <c r="S70" i="5"/>
  <c r="T33" i="5"/>
  <c r="T57" i="5"/>
  <c r="C8" i="6" l="1"/>
  <c r="C12" i="6"/>
  <c r="B34" i="4"/>
  <c r="A21" i="6" s="1"/>
  <c r="G68" i="6"/>
  <c r="B58" i="4"/>
  <c r="A41" i="6" s="1"/>
  <c r="B52" i="4"/>
  <c r="A36" i="6" s="1"/>
  <c r="B70" i="4"/>
  <c r="A51" i="6" s="1"/>
  <c r="A26" i="6"/>
  <c r="G67" i="6"/>
  <c r="H67" i="6" s="1"/>
  <c r="D67" i="6" s="1"/>
  <c r="G65" i="6"/>
  <c r="H65" i="6" s="1"/>
  <c r="D65" i="6" s="1"/>
  <c r="G66" i="6"/>
  <c r="G55" i="4"/>
  <c r="G69" i="6" a="1"/>
  <c r="G69" i="6" s="1"/>
  <c r="H69" i="6" s="1"/>
  <c r="C29" i="6"/>
  <c r="D29" i="6"/>
  <c r="C21" i="6"/>
  <c r="D21" i="6"/>
  <c r="C46" i="6"/>
  <c r="D46" i="6"/>
  <c r="C22" i="6"/>
  <c r="D22" i="6"/>
  <c r="B2" i="6"/>
  <c r="K67" i="6"/>
  <c r="F41" i="6"/>
  <c r="H41" i="6" s="1"/>
  <c r="D41" i="6" s="1"/>
  <c r="F34" i="6"/>
  <c r="H34" i="6" s="1"/>
  <c r="F49" i="6"/>
  <c r="H49" i="6" s="1"/>
  <c r="B31" i="6"/>
  <c r="G31" i="6" s="1"/>
  <c r="B26" i="6"/>
  <c r="G26" i="6" s="1"/>
  <c r="H26" i="6" s="1"/>
  <c r="B36" i="6"/>
  <c r="G36" i="6" s="1"/>
  <c r="H36" i="6" s="1"/>
  <c r="B87" i="4"/>
  <c r="A62" i="6" s="1"/>
  <c r="B79" i="4"/>
  <c r="A57" i="6" s="1"/>
  <c r="B75" i="4"/>
  <c r="A54" i="6" s="1"/>
  <c r="B89" i="4"/>
  <c r="A63" i="6" s="1"/>
  <c r="B43" i="4"/>
  <c r="A28" i="6" s="1"/>
  <c r="B55" i="4"/>
  <c r="A38" i="6" s="1"/>
  <c r="F20" i="6"/>
  <c r="G15" i="6"/>
  <c r="H15" i="6" s="1"/>
  <c r="B20" i="6"/>
  <c r="C2" i="6"/>
  <c r="C24" i="6"/>
  <c r="D24" i="6"/>
  <c r="C16" i="6"/>
  <c r="C39" i="6"/>
  <c r="C11" i="6"/>
  <c r="B51" i="6"/>
  <c r="G51" i="6" s="1"/>
  <c r="F31" i="6"/>
  <c r="H31" i="6" s="1"/>
  <c r="D31" i="6" s="1"/>
  <c r="F51" i="6"/>
  <c r="H51" i="6" s="1"/>
  <c r="B52" i="6"/>
  <c r="G52" i="6" s="1"/>
  <c r="B42" i="6"/>
  <c r="G42" i="6" s="1"/>
  <c r="F6" i="6"/>
  <c r="H6" i="6" s="1"/>
  <c r="F64" i="6"/>
  <c r="G5" i="6"/>
  <c r="H5" i="6" s="1"/>
  <c r="F27" i="6"/>
  <c r="C4" i="6"/>
  <c r="D4" i="6"/>
  <c r="C9" i="6"/>
  <c r="D49" i="4"/>
  <c r="C7" i="6"/>
  <c r="C41" i="6"/>
  <c r="C31" i="6"/>
  <c r="C15" i="6"/>
  <c r="G17" i="6"/>
  <c r="H17" i="6" s="1"/>
  <c r="G64" i="6"/>
  <c r="G61" i="4"/>
  <c r="G37" i="4"/>
  <c r="G31" i="4"/>
  <c r="G67" i="4"/>
  <c r="G49" i="4"/>
  <c r="G74" i="4"/>
  <c r="B51" i="4"/>
  <c r="A35" i="6" s="1"/>
  <c r="B63" i="4"/>
  <c r="A45" i="6" s="1"/>
  <c r="A25" i="6"/>
  <c r="B62" i="4"/>
  <c r="A44" i="6" s="1"/>
  <c r="B56" i="4"/>
  <c r="A39" i="6" s="1"/>
  <c r="A24" i="6"/>
  <c r="B68" i="4"/>
  <c r="A49" i="6" s="1"/>
  <c r="B50" i="4"/>
  <c r="A34" i="6" s="1"/>
  <c r="B53" i="4"/>
  <c r="A37" i="6" s="1"/>
  <c r="B71" i="4"/>
  <c r="A52" i="6" s="1"/>
  <c r="B65" i="4"/>
  <c r="A47" i="6" s="1"/>
  <c r="B59" i="4"/>
  <c r="A42" i="6" s="1"/>
  <c r="T68" i="5"/>
  <c r="T80" i="5"/>
  <c r="T87" i="5"/>
  <c r="T47" i="5"/>
  <c r="T11" i="5"/>
  <c r="T78" i="5"/>
  <c r="T7" i="5"/>
  <c r="T39" i="5"/>
  <c r="T16" i="5"/>
  <c r="T6" i="5"/>
  <c r="T5" i="5"/>
  <c r="T84" i="5"/>
  <c r="T44" i="5"/>
  <c r="T71" i="5"/>
  <c r="T23" i="5"/>
  <c r="T82" i="5"/>
  <c r="T61" i="5"/>
  <c r="T45" i="5"/>
  <c r="T72" i="5"/>
  <c r="T42" i="5"/>
  <c r="T28" i="5"/>
  <c r="T36" i="5"/>
  <c r="T12" i="5"/>
  <c r="T52" i="5"/>
  <c r="T85" i="5"/>
  <c r="T74" i="5"/>
  <c r="T22" i="5"/>
  <c r="T34" i="5"/>
  <c r="T64" i="5"/>
  <c r="T56" i="5"/>
  <c r="T37" i="5"/>
  <c r="T40" i="5"/>
  <c r="T9" i="5"/>
  <c r="T24" i="5"/>
  <c r="T8" i="5"/>
  <c r="T27" i="5"/>
  <c r="T19" i="5"/>
  <c r="T17" i="5"/>
  <c r="T75" i="5"/>
  <c r="T73" i="5"/>
  <c r="T66" i="5"/>
  <c r="T70" i="5"/>
  <c r="T79" i="5"/>
  <c r="T83" i="5"/>
  <c r="T41" i="5"/>
  <c r="T31" i="5"/>
  <c r="T53" i="5"/>
  <c r="T46" i="5"/>
  <c r="T60" i="5"/>
  <c r="T15" i="5"/>
  <c r="T55" i="5"/>
  <c r="T58" i="5"/>
  <c r="T54" i="5"/>
  <c r="T13" i="5"/>
  <c r="T49" i="5"/>
  <c r="T48" i="5"/>
  <c r="T76" i="5"/>
  <c r="T86" i="5"/>
  <c r="T32" i="5"/>
  <c r="T77" i="5"/>
  <c r="T59" i="5"/>
  <c r="T29" i="5"/>
  <c r="T10" i="5"/>
  <c r="T18" i="5"/>
  <c r="T14" i="5"/>
  <c r="T43" i="5"/>
  <c r="C67" i="6" l="1"/>
  <c r="C65" i="6"/>
  <c r="C36" i="6"/>
  <c r="D36" i="6"/>
  <c r="D6" i="6"/>
  <c r="C6" i="6"/>
  <c r="F25" i="6"/>
  <c r="G20" i="6"/>
  <c r="B25" i="6"/>
  <c r="G25" i="6" s="1"/>
  <c r="B40" i="6"/>
  <c r="G40" i="6" s="1"/>
  <c r="B30" i="6"/>
  <c r="G30" i="6" s="1"/>
  <c r="F32" i="6"/>
  <c r="H32" i="6" s="1"/>
  <c r="F47" i="6"/>
  <c r="H47" i="6" s="1"/>
  <c r="H27" i="6"/>
  <c r="F68" i="6"/>
  <c r="H68" i="6" s="1"/>
  <c r="F37" i="6"/>
  <c r="H37" i="6" s="1"/>
  <c r="F42" i="6"/>
  <c r="H42" i="6" s="1"/>
  <c r="F52" i="6"/>
  <c r="H52" i="6" s="1"/>
  <c r="B45" i="6"/>
  <c r="G45" i="6" s="1"/>
  <c r="D15" i="6"/>
  <c r="D49" i="6"/>
  <c r="C49" i="6"/>
  <c r="C5" i="6"/>
  <c r="D5" i="6"/>
  <c r="B35" i="6"/>
  <c r="G35" i="6" s="1"/>
  <c r="H20" i="6"/>
  <c r="K66" i="6" s="1"/>
  <c r="D26" i="6"/>
  <c r="C26" i="6"/>
  <c r="C34" i="6"/>
  <c r="D34" i="6"/>
  <c r="K68" i="6"/>
  <c r="D17" i="6"/>
  <c r="C17" i="6"/>
  <c r="C51" i="6"/>
  <c r="D51" i="6"/>
  <c r="B50" i="6"/>
  <c r="G50" i="6" s="1"/>
  <c r="H64" i="6"/>
  <c r="B64" i="6"/>
  <c r="D52" i="6" l="1"/>
  <c r="C52" i="6"/>
  <c r="D27" i="6"/>
  <c r="C27" i="6"/>
  <c r="D42" i="6"/>
  <c r="C42" i="6"/>
  <c r="D47" i="6"/>
  <c r="C47" i="6"/>
  <c r="D37" i="6"/>
  <c r="C37" i="6"/>
  <c r="C32" i="6"/>
  <c r="D32" i="6"/>
  <c r="D20" i="6"/>
  <c r="C20" i="6"/>
  <c r="D68" i="6"/>
  <c r="C68" i="6"/>
  <c r="F66" i="6"/>
  <c r="H66" i="6" s="1"/>
  <c r="F30" i="6"/>
  <c r="H30" i="6" s="1"/>
  <c r="F45" i="6"/>
  <c r="H45" i="6" s="1"/>
  <c r="F40" i="6"/>
  <c r="H40" i="6" s="1"/>
  <c r="H25" i="6"/>
  <c r="F50" i="6"/>
  <c r="H50" i="6" s="1"/>
  <c r="F35" i="6"/>
  <c r="H35" i="6" s="1"/>
  <c r="F54" i="6"/>
  <c r="D64" i="6"/>
  <c r="C64" i="6"/>
  <c r="F57" i="6" l="1"/>
  <c r="H57" i="6" s="1"/>
  <c r="F59" i="6"/>
  <c r="H59" i="6" s="1"/>
  <c r="H54" i="6"/>
  <c r="F60" i="6"/>
  <c r="H60" i="6" s="1"/>
  <c r="F55" i="6"/>
  <c r="F62" i="6"/>
  <c r="H62" i="6" s="1"/>
  <c r="F63" i="6"/>
  <c r="H63" i="6" s="1"/>
  <c r="F58" i="6"/>
  <c r="H58" i="6" s="1"/>
  <c r="D40" i="6"/>
  <c r="C40" i="6"/>
  <c r="D35" i="6"/>
  <c r="C35" i="6"/>
  <c r="D45" i="6"/>
  <c r="C45" i="6"/>
  <c r="D50" i="6"/>
  <c r="C50" i="6"/>
  <c r="C30" i="6"/>
  <c r="D30" i="6"/>
  <c r="C25" i="6"/>
  <c r="D25" i="6"/>
  <c r="C66" i="6"/>
  <c r="D66" i="6"/>
  <c r="D58" i="6" l="1"/>
  <c r="C58" i="6"/>
  <c r="D60" i="6"/>
  <c r="C60" i="6"/>
  <c r="D63" i="6"/>
  <c r="C63" i="6"/>
  <c r="D54" i="6"/>
  <c r="C54" i="6"/>
  <c r="D62" i="6"/>
  <c r="C62" i="6"/>
  <c r="D59" i="6"/>
  <c r="C59" i="6"/>
  <c r="H55" i="6"/>
  <c r="F56" i="6"/>
  <c r="H56" i="6" s="1"/>
  <c r="D57" i="6"/>
  <c r="C57"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<sst xmlns="http://schemas.openxmlformats.org/spreadsheetml/2006/main" count="23075" uniqueCount="15818">
  <si>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</si>
  <si>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</si>
  <si>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</si>
  <si>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</si>
  <si>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</si>
  <si>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</si>
  <si>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</si>
  <si>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</si>
  <si>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</si>
  <si>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</si>
  <si>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</si>
  <si>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</si>
  <si>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</si>
  <si>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</si>
  <si>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</si>
  <si>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</si>
  <si>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</si>
  <si>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</si>
  <si>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</si>
  <si>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</si>
  <si>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</si>
  <si>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</si>
  <si>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</si>
  <si>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</si>
  <si>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</si>
  <si>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</si>
  <si>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</si>
  <si>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</si>
  <si>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</si>
  <si>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</si>
  <si>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</si>
  <si>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</si>
  <si>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</si>
  <si>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</si>
  <si>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</si>
  <si>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</si>
  <si>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</si>
  <si>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</si>
  <si>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</si>
  <si>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</si>
  <si>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</si>
  <si>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</si>
  <si>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</si>
  <si>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</si>
  <si>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</si>
  <si>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</si>
  <si>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</si>
  <si>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</si>
  <si>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</si>
  <si>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</si>
  <si>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</si>
  <si>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</si>
  <si>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</si>
  <si>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</si>
  <si>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</si>
  <si>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</si>
  <si>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</si>
  <si>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</si>
  <si>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</si>
  <si>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</si>
  <si>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</si>
  <si>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</si>
  <si>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</si>
  <si>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</si>
  <si>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</si>
  <si>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</si>
  <si>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</si>
  <si>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</si>
  <si>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</si>
  <si>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</si>
  <si>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</si>
  <si>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</si>
  <si>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</si>
  <si>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</si>
  <si>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</si>
  <si>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</si>
  <si>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</si>
  <si>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</si>
  <si>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</si>
  <si>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</si>
  <si>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</si>
  <si>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</si>
  <si>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</si>
  <si>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</si>
  <si>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</si>
  <si>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</si>
  <si>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</si>
  <si>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</si>
  <si>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</si>
  <si>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</si>
  <si>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</si>
  <si>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</si>
  <si>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</si>
  <si>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</si>
  <si>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</si>
  <si>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</si>
  <si>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</si>
  <si>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</si>
  <si>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</si>
  <si>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</si>
  <si>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</si>
  <si>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</si>
  <si>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</si>
  <si>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</si>
  <si>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</si>
  <si>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</si>
  <si>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</si>
  <si>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</si>
  <si>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</si>
  <si>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</si>
  <si>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</si>
  <si>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</si>
  <si>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</si>
  <si>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</si>
  <si>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</si>
  <si>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</si>
  <si>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</si>
  <si>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</si>
  <si>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</si>
  <si>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</si>
  <si>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</si>
  <si>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</si>
  <si>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</si>
  <si>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</si>
  <si>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</si>
  <si>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</si>
  <si>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</si>
  <si>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</si>
  <si>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</si>
  <si>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</si>
  <si>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</si>
  <si>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</si>
  <si>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</si>
  <si>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</si>
  <si>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</si>
  <si>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</si>
  <si>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</si>
  <si>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</si>
  <si>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</si>
  <si>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</si>
  <si>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</si>
  <si>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</si>
  <si>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</si>
  <si>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</si>
  <si>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</si>
  <si>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</si>
  <si>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</si>
  <si>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</si>
  <si>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</si>
  <si>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</si>
  <si>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</si>
  <si>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</si>
  <si>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</si>
  <si>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</si>
  <si>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</si>
  <si>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</si>
  <si>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</si>
  <si>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</si>
  <si>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</si>
  <si>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</si>
  <si>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</si>
  <si>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</si>
  <si>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</si>
  <si>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</si>
  <si>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</si>
  <si>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</si>
  <si>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</si>
  <si>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</si>
  <si>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</si>
  <si>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</si>
  <si>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</si>
  <si>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</si>
  <si>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</si>
  <si>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</si>
  <si>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</si>
  <si>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</si>
  <si>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</si>
  <si>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</si>
  <si>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</si>
  <si>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</si>
  <si>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</si>
  <si>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</si>
  <si>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</si>
  <si>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</si>
  <si>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</si>
  <si>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</si>
  <si>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</si>
  <si>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</si>
  <si>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</si>
  <si>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</si>
  <si>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</si>
  <si>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</si>
  <si>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</si>
  <si>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</si>
  <si>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</si>
  <si>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</si>
  <si>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</si>
  <si>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</si>
  <si>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</si>
  <si>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</si>
  <si>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</si>
  <si>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</si>
  <si>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</si>
  <si>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</si>
  <si>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</si>
  <si>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</si>
  <si>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</si>
  <si>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</si>
  <si>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</si>
  <si>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</si>
  <si>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</si>
  <si>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</si>
  <si>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</si>
  <si>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</si>
  <si>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</si>
  <si>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</si>
  <si>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</si>
  <si>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</si>
  <si>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</si>
  <si>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</si>
  <si>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</si>
  <si>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</si>
  <si>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</si>
  <si>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</si>
  <si>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</si>
  <si>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</si>
  <si>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</si>
  <si>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</si>
  <si>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</si>
  <si>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</si>
  <si>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</si>
  <si>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</si>
  <si>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</si>
  <si>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</si>
  <si>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</si>
  <si>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</si>
  <si>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</si>
  <si>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</si>
  <si>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</si>
  <si>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</si>
  <si>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</si>
  <si>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</si>
  <si>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</si>
  <si>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</si>
  <si>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</si>
  <si>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</si>
  <si>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</si>
  <si>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</si>
  <si>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</si>
  <si>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</si>
  <si>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</si>
  <si>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</si>
  <si>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</si>
  <si>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</si>
  <si>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</si>
  <si>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</si>
  <si>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</si>
  <si>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</si>
  <si>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</si>
  <si>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</si>
  <si>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</si>
  <si>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</si>
  <si>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</si>
  <si>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</si>
  <si>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</si>
  <si>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</si>
  <si>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</si>
  <si>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</si>
  <si>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</si>
  <si>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</si>
  <si>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</si>
  <si>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</si>
  <si>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</si>
  <si>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</si>
  <si>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</si>
  <si>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</si>
  <si>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</si>
  <si>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</si>
  <si>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</si>
  <si>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</si>
  <si>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</si>
  <si>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</si>
  <si>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</si>
  <si>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</si>
  <si>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</si>
  <si>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</si>
  <si>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</si>
  <si>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</si>
  <si>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</si>
  <si>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</si>
  <si>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</si>
  <si>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</si>
  <si>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</si>
  <si>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</si>
  <si>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</si>
  <si>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</si>
  <si>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</si>
  <si>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</si>
  <si>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</si>
  <si>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</si>
  <si>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</si>
  <si>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</si>
  <si>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</si>
  <si>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</si>
  <si>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</si>
  <si>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</si>
  <si>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</si>
  <si>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</si>
  <si>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</si>
  <si>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</si>
  <si>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</si>
  <si>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</si>
  <si>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</si>
  <si>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</si>
  <si>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</si>
  <si>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</si>
  <si>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</si>
  <si>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</si>
  <si>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</si>
  <si>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</si>
  <si>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</si>
  <si>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</si>
  <si>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</si>
  <si>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</si>
  <si>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</si>
  <si>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</si>
  <si>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</si>
  <si>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</si>
  <si>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</si>
  <si>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</si>
  <si>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</si>
  <si>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</si>
  <si>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</si>
  <si>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</si>
  <si>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</si>
  <si>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</si>
  <si>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</si>
  <si>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</si>
  <si>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</si>
  <si>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</si>
  <si>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</si>
  <si>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</si>
  <si>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</si>
  <si>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</si>
  <si>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</si>
  <si>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</si>
  <si>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</si>
  <si>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</si>
  <si>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</si>
  <si>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</si>
  <si>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</si>
  <si>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</si>
  <si>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</si>
  <si>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</si>
  <si>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</si>
  <si>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</si>
  <si>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</si>
  <si>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</si>
  <si>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</si>
  <si>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</si>
  <si>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</si>
  <si>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</si>
  <si>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</si>
  <si>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</si>
  <si>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</si>
  <si>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</si>
  <si>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</si>
  <si>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</si>
  <si>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</si>
  <si>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</si>
  <si>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</si>
  <si>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</si>
  <si>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</si>
  <si>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</si>
  <si>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</si>
  <si>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</si>
  <si>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</si>
  <si>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</si>
  <si>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</si>
  <si>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</si>
  <si>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</si>
  <si>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</si>
  <si>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</si>
  <si>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</si>
  <si>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</si>
  <si>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</si>
  <si>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</si>
  <si>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</si>
  <si>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</si>
  <si>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</si>
  <si>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</si>
  <si>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</si>
  <si>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</si>
  <si>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</si>
  <si>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</si>
  <si>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</si>
  <si>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</si>
  <si>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</si>
  <si>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</si>
  <si>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</si>
  <si>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</si>
  <si>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</si>
  <si>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</si>
  <si>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</si>
  <si>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</si>
  <si>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</si>
  <si>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</si>
  <si>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</si>
  <si>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</si>
  <si>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</si>
  <si>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</si>
  <si>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</si>
  <si>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</si>
  <si>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</si>
  <si>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</si>
  <si>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</si>
  <si>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</si>
  <si>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</si>
  <si>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</si>
  <si>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</si>
  <si>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</si>
  <si>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</si>
  <si>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</si>
  <si>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</si>
  <si>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</si>
  <si>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</si>
  <si>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</si>
  <si>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</si>
  <si>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</si>
  <si>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</si>
  <si>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</si>
  <si>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</si>
  <si>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</si>
  <si>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</si>
  <si>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</si>
  <si>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</si>
  <si>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</si>
  <si>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</si>
  <si>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</si>
  <si>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</si>
  <si>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</si>
  <si>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</si>
  <si>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</si>
  <si>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</si>
  <si>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</si>
  <si>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</si>
  <si>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</si>
  <si>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</si>
  <si>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</si>
  <si>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</si>
  <si>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</si>
  <si>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</si>
  <si>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</si>
  <si>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</si>
  <si>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</si>
  <si>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</si>
  <si>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</si>
  <si>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</si>
  <si>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</si>
  <si>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</si>
  <si>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</si>
  <si>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</si>
  <si>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</si>
  <si>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</si>
  <si>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</si>
  <si>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</si>
  <si>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</si>
  <si>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</si>
  <si>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</si>
  <si>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</si>
  <si>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</si>
  <si>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</si>
  <si>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</si>
  <si>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</si>
  <si>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</si>
  <si>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</si>
  <si>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</si>
  <si>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</si>
  <si>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</si>
  <si>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</si>
  <si>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</si>
  <si>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</si>
  <si>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</si>
  <si>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</si>
  <si>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</si>
  <si>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</si>
  <si>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</si>
  <si>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</si>
  <si>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</si>
  <si>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</si>
  <si>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</si>
  <si>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</si>
  <si>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</si>
  <si>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</si>
  <si>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</si>
  <si>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</si>
  <si>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</si>
  <si>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</si>
  <si>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</si>
  <si>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</si>
  <si>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</si>
  <si>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</si>
  <si>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</si>
  <si>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</si>
  <si>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</si>
  <si>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</si>
  <si>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</si>
  <si>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</si>
  <si>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</si>
  <si>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</si>
  <si>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</si>
  <si>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</si>
  <si>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</si>
  <si>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</si>
  <si>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</si>
  <si>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</si>
  <si>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</si>
  <si>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</si>
  <si>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</si>
  <si>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</si>
  <si>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</si>
  <si>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</si>
  <si>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</si>
  <si>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</si>
  <si>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</si>
  <si>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</si>
  <si>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</si>
  <si>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</si>
  <si>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</si>
  <si>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</si>
  <si>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</si>
  <si>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</si>
  <si>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</si>
  <si>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</si>
  <si>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</si>
  <si>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</si>
  <si>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</si>
  <si>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</si>
  <si>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</si>
  <si>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</si>
  <si>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</si>
  <si>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</si>
  <si>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</si>
  <si>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</si>
  <si>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</si>
  <si>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</si>
  <si>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</si>
  <si>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</si>
  <si>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</si>
  <si>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</si>
  <si>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</si>
  <si>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</si>
  <si>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</si>
  <si>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</si>
  <si>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</si>
  <si>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</si>
  <si>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</si>
  <si>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</si>
  <si>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</si>
  <si>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</si>
  <si>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</si>
  <si>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</si>
  <si>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</si>
  <si>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</si>
  <si>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</si>
  <si>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</si>
  <si>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</si>
  <si>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</si>
  <si>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</si>
  <si>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</si>
  <si>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</si>
  <si>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</si>
  <si>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</si>
  <si>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</si>
  <si>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</si>
  <si>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</si>
  <si>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</si>
  <si>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</si>
  <si>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</si>
  <si>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</si>
  <si>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</si>
  <si>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</si>
  <si>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</si>
  <si>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</si>
  <si>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</si>
  <si>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</si>
  <si>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</si>
  <si>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</si>
  <si>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</si>
  <si>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</si>
  <si>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</si>
  <si>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</si>
  <si>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</si>
  <si>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</si>
  <si>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</si>
  <si>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</si>
  <si>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</si>
  <si>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</si>
  <si>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</si>
  <si>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</si>
  <si>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</si>
  <si>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</si>
  <si>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</si>
  <si>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</si>
  <si>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</si>
  <si>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</si>
  <si>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</si>
  <si>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</si>
  <si>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</si>
  <si>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</si>
  <si>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</si>
  <si>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</si>
  <si>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</si>
  <si>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</si>
  <si>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</si>
  <si>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</si>
  <si>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</si>
  <si>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</si>
  <si>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</si>
  <si>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</si>
  <si>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</si>
  <si>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</si>
  <si>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</si>
  <si>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</si>
  <si>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</si>
  <si>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</si>
  <si>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</si>
  <si>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</si>
  <si>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</si>
  <si>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</si>
  <si>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</si>
  <si>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</si>
  <si>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</si>
  <si>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</si>
  <si>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</si>
  <si>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</si>
  <si>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</si>
  <si>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</si>
  <si>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</si>
  <si>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</si>
  <si>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</si>
  <si>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</si>
  <si>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</si>
  <si>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</si>
  <si>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</si>
  <si>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</si>
  <si>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</si>
  <si>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</si>
  <si>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</si>
  <si>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</si>
  <si>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</si>
  <si>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</si>
  <si>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</si>
  <si>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</si>
  <si>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</si>
  <si>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</si>
  <si>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</si>
  <si>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</si>
  <si>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</si>
  <si>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</si>
  <si>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</si>
  <si>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</si>
  <si>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</si>
  <si>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</si>
  <si>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</si>
  <si>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</si>
  <si>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</si>
  <si>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</si>
  <si>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</si>
  <si>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</si>
  <si>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</si>
  <si>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</si>
  <si>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</si>
  <si>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</si>
  <si>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</si>
  <si>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</si>
  <si>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</si>
  <si>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</si>
  <si>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</si>
  <si>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</si>
  <si>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</si>
  <si>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</si>
  <si>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</si>
  <si>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</si>
  <si>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</si>
  <si>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</si>
  <si>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</si>
  <si>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</si>
  <si>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</si>
  <si>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</si>
  <si>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</si>
  <si>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</si>
  <si>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</si>
  <si>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</si>
  <si>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</si>
  <si>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</si>
  <si>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</si>
  <si>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</si>
  <si>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</si>
  <si>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</si>
  <si>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</si>
  <si>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</si>
  <si>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</si>
  <si>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</si>
  <si>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</si>
  <si>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</si>
  <si>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</si>
  <si>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</si>
  <si>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</si>
  <si>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</si>
  <si>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</si>
  <si>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</si>
  <si>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</si>
  <si>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</si>
  <si>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</si>
  <si>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</si>
  <si>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</si>
  <si>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</si>
  <si>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</si>
  <si>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</si>
  <si>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</si>
  <si>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</si>
  <si>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</si>
  <si>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</si>
  <si>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</si>
  <si>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</si>
  <si>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</si>
  <si>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</si>
  <si>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</si>
  <si>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</si>
  <si>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</si>
  <si>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</si>
  <si>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</si>
  <si>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</si>
  <si>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</si>
  <si>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</si>
  <si>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</si>
  <si>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</si>
  <si>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</si>
  <si>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</si>
  <si>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</si>
  <si>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</si>
  <si>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</si>
  <si>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</si>
  <si>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</si>
  <si>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</si>
  <si>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</si>
  <si>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</si>
  <si>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</si>
  <si>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</si>
  <si>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</si>
  <si>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</si>
  <si>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</si>
  <si>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</si>
  <si>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</si>
  <si>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</si>
  <si>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</si>
  <si>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</si>
  <si>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</si>
  <si>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</si>
  <si>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</si>
  <si>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</si>
  <si>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</si>
  <si>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</si>
  <si>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</si>
  <si>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</si>
  <si>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</si>
  <si>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</si>
  <si>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</si>
  <si>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</si>
  <si>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</si>
  <si>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</si>
  <si>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</si>
  <si>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</si>
  <si>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</si>
  <si>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</si>
  <si>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</si>
  <si>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</si>
  <si>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</si>
  <si>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</si>
  <si>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</si>
  <si>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</si>
  <si>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</si>
  <si>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</si>
  <si>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</si>
  <si>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</si>
  <si>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</si>
  <si>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</si>
  <si>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</si>
  <si>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</si>
  <si>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</si>
  <si>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</si>
  <si>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</si>
  <si>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</si>
  <si>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</si>
  <si>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</si>
  <si>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</si>
  <si>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</si>
  <si>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</si>
  <si>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</si>
  <si>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</si>
  <si>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</si>
  <si>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</si>
  <si>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</si>
  <si>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</si>
  <si>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</si>
  <si>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</si>
  <si>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</si>
  <si>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</si>
  <si>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</si>
  <si>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</si>
  <si>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</si>
  <si>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</si>
  <si>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</si>
  <si>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</si>
  <si>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</si>
  <si>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</si>
  <si>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</si>
  <si>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</si>
  <si>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</si>
  <si>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</si>
  <si>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</si>
  <si>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</si>
  <si>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</si>
  <si>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</si>
  <si>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</si>
  <si>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</si>
  <si>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</si>
  <si>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</si>
  <si>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</si>
  <si>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</si>
  <si>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</si>
  <si>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</si>
  <si>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</si>
  <si>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</si>
  <si>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</si>
  <si>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</si>
  <si>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</si>
  <si>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</si>
  <si>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</si>
  <si>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</si>
  <si>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</si>
  <si>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</si>
  <si>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</si>
  <si>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</si>
  <si>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</si>
  <si>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</si>
  <si>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</si>
  <si>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</si>
  <si>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</si>
  <si>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</si>
  <si>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</si>
  <si>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</si>
  <si>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</si>
  <si>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</si>
  <si>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</si>
  <si>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</si>
  <si>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</si>
  <si>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</si>
  <si>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</si>
  <si>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</si>
  <si>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</si>
  <si>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</si>
  <si>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</si>
  <si>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</si>
  <si>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</si>
  <si>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</si>
  <si>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</si>
  <si>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</si>
  <si>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</si>
  <si>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</si>
  <si>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</si>
  <si>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</si>
  <si>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</si>
  <si>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</si>
  <si>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</si>
  <si>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</si>
  <si>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</si>
  <si>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</si>
  <si>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</si>
  <si>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</si>
  <si>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</si>
  <si>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</si>
  <si>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</si>
  <si>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</si>
  <si>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</si>
  <si>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</si>
  <si>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</si>
  <si>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</si>
  <si>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</si>
  <si>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</si>
  <si>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</si>
  <si>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</si>
  <si>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</si>
  <si>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</si>
  <si>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</si>
  <si>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</si>
  <si>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</si>
  <si>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</si>
  <si>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</si>
  <si>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</si>
  <si>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</si>
  <si>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</si>
  <si>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</si>
  <si>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</si>
  <si>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</si>
  <si>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</si>
  <si>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</si>
  <si>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</si>
  <si>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</si>
  <si>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</si>
  <si>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</si>
  <si>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</si>
  <si>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</si>
  <si>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</si>
  <si>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</si>
  <si>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</si>
  <si>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</si>
  <si>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</si>
  <si>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</si>
  <si>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</si>
  <si>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</si>
  <si>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</si>
  <si>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</si>
  <si>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</si>
  <si>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</si>
  <si>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</si>
  <si>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</si>
  <si>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</si>
  <si>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</si>
  <si>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</si>
  <si>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</si>
  <si>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</si>
  <si>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</si>
  <si>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</si>
  <si>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</si>
  <si>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</si>
  <si>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</si>
  <si>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</si>
  <si>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</si>
  <si>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</si>
  <si>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</si>
  <si>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</si>
  <si>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</si>
  <si>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</si>
  <si>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</si>
  <si>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</si>
  <si>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</si>
  <si>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</si>
  <si>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</si>
  <si>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</si>
  <si>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</si>
  <si>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</si>
  <si>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</si>
  <si>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</si>
  <si>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</si>
  <si>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</si>
  <si>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</si>
  <si>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</si>
  <si>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</si>
  <si>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</si>
  <si>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</si>
  <si>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</si>
  <si>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</si>
  <si>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</si>
  <si>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</si>
  <si>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</si>
  <si>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</si>
  <si>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</si>
  <si>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</si>
  <si>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</si>
  <si>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</si>
  <si>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</si>
  <si>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</si>
  <si>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</si>
  <si>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</si>
  <si>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</si>
  <si>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</si>
  <si>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</si>
  <si>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</si>
  <si>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</si>
  <si>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</si>
  <si>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</si>
  <si>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</si>
  <si>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</si>
  <si>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</si>
  <si>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</si>
  <si>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</si>
  <si>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</si>
  <si>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</si>
  <si>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</si>
  <si>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</si>
  <si>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</si>
  <si>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</si>
  <si>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</si>
  <si>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</si>
  <si>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</si>
  <si>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</si>
  <si>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</si>
  <si>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</si>
  <si>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</si>
  <si>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</si>
  <si>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</si>
  <si>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</si>
  <si>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</si>
  <si>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</si>
  <si>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</si>
  <si>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</si>
  <si>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</si>
  <si>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</si>
  <si>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</si>
  <si>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</si>
  <si>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</si>
  <si>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</si>
  <si>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</si>
  <si>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</si>
  <si>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</si>
  <si>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</si>
  <si>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</si>
  <si>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</si>
  <si>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</si>
  <si>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</si>
  <si>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</si>
  <si>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</si>
  <si>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</si>
  <si>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</si>
  <si>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</si>
  <si>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</si>
  <si>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</si>
  <si>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</si>
  <si>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</si>
  <si>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</si>
  <si>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</si>
  <si>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</si>
  <si>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</si>
  <si>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</si>
  <si>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</si>
  <si>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</si>
  <si>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</si>
  <si>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</si>
  <si>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</si>
  <si>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</si>
  <si>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</si>
  <si>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</si>
  <si>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</si>
  <si>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</si>
  <si>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</si>
  <si>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</si>
  <si>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</si>
  <si>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</si>
  <si>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</si>
  <si>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</si>
  <si>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</si>
  <si>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</si>
  <si>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</si>
  <si>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</si>
  <si>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</si>
  <si>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</si>
  <si>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</si>
  <si>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</si>
  <si>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</si>
  <si>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</si>
  <si>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</si>
  <si>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</si>
  <si>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</si>
  <si>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</si>
  <si>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</si>
  <si>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</si>
  <si>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</si>
  <si>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</si>
  <si>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</si>
  <si>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</si>
  <si>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</si>
  <si>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</si>
  <si>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</si>
  <si>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</si>
  <si>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</si>
  <si>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</si>
  <si>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</si>
  <si>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</si>
  <si>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</si>
  <si>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</si>
  <si>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</si>
  <si>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</si>
  <si>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</si>
  <si>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</si>
  <si>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</si>
  <si>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</si>
  <si>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</si>
  <si>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</si>
  <si>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</si>
  <si>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</si>
  <si>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</si>
  <si>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</si>
  <si>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</si>
  <si>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</si>
  <si>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</si>
  <si>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</si>
  <si>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</si>
  <si>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</si>
  <si>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</si>
  <si>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</si>
  <si>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</si>
  <si>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</si>
  <si>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</si>
  <si>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</si>
  <si>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</si>
  <si>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</si>
  <si>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</si>
  <si>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</si>
  <si>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</si>
  <si>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</si>
  <si>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</si>
  <si>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</si>
  <si>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</si>
  <si>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</si>
  <si>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</si>
  <si>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</si>
  <si>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</si>
  <si>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</si>
  <si>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</si>
  <si>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</si>
  <si>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</si>
  <si>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</si>
  <si>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</si>
  <si>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</si>
  <si>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</si>
  <si>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</si>
  <si>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</si>
  <si>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</si>
  <si>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</si>
  <si>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</si>
  <si>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</si>
  <si>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</si>
  <si>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</si>
  <si>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</si>
  <si>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</si>
  <si>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</si>
  <si>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</si>
  <si>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</si>
  <si>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</si>
  <si>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</si>
  <si>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</si>
  <si>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</si>
  <si>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</si>
  <si>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</si>
  <si>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</si>
  <si>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</si>
  <si>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</si>
  <si>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</si>
  <si>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</si>
  <si>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</si>
  <si>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</si>
  <si>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</si>
  <si>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</si>
  <si>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</si>
  <si>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</si>
  <si>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</si>
  <si>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</si>
  <si>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</si>
  <si>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</si>
  <si>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</si>
  <si>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</si>
  <si>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</si>
  <si>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</si>
  <si>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</si>
  <si>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</si>
  <si>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</si>
  <si>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</si>
  <si>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</si>
  <si>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</si>
  <si>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</si>
  <si>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</si>
  <si>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</si>
  <si>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</si>
  <si>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</si>
  <si>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</si>
  <si>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</si>
  <si>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</si>
  <si>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</si>
  <si>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</si>
  <si>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</si>
  <si>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</si>
  <si>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</si>
  <si>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</si>
  <si>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</si>
  <si>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</si>
  <si>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</si>
  <si>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</si>
  <si>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</si>
  <si>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</si>
  <si>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</si>
  <si>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</si>
  <si>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</si>
  <si>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</si>
  <si>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</si>
  <si>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</si>
  <si>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</si>
  <si>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</si>
  <si>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</si>
  <si>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</si>
  <si>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</si>
  <si>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</si>
  <si>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</si>
  <si>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</si>
  <si>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</si>
  <si>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</si>
  <si>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</si>
  <si>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</si>
  <si>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</si>
  <si>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</si>
  <si>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</si>
  <si>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</si>
  <si>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</si>
  <si>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</si>
  <si>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</si>
  <si>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</si>
  <si>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</si>
  <si>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</si>
  <si>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</si>
  <si>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</si>
  <si>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</si>
  <si>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</si>
  <si>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</si>
  <si>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</si>
  <si>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</si>
  <si>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</si>
  <si>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</si>
  <si>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</si>
  <si>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</si>
  <si>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</si>
  <si>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</si>
  <si>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</si>
  <si>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</si>
  <si>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</si>
  <si>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</si>
  <si>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</si>
  <si>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</si>
  <si>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</si>
  <si>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</si>
  <si>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</si>
  <si>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</si>
  <si>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</si>
  <si>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</si>
  <si>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</si>
  <si>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</si>
  <si>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</si>
  <si>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</si>
  <si>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</si>
  <si>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</si>
  <si>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</si>
  <si>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</si>
  <si>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</si>
  <si>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</si>
  <si>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</si>
  <si>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</si>
  <si>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</si>
  <si>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</si>
  <si>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</si>
  <si>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</si>
  <si>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</si>
  <si>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</si>
  <si>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</si>
  <si>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</si>
  <si>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</si>
  <si>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</si>
  <si>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</si>
  <si>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</si>
  <si>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</si>
  <si>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</si>
  <si>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</si>
  <si>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</si>
  <si>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</si>
  <si>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</si>
  <si>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</si>
  <si>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</si>
  <si>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</si>
  <si>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</si>
  <si>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</si>
  <si>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</si>
  <si>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</si>
  <si>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</si>
  <si>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</si>
  <si>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</si>
  <si>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</si>
  <si>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</si>
  <si>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</si>
  <si>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</si>
  <si>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</si>
  <si>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</si>
  <si>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</si>
  <si>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</si>
  <si>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</si>
  <si>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</si>
  <si>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</si>
  <si>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</si>
  <si>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</si>
  <si>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</si>
  <si>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</si>
  <si>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</si>
  <si>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</si>
  <si>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</si>
  <si>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</si>
  <si>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</si>
  <si>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</si>
  <si>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</si>
  <si>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</si>
  <si>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</si>
  <si>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</si>
  <si>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</si>
  <si>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</si>
  <si>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</si>
  <si>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</si>
  <si>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</si>
  <si>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</si>
  <si>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</si>
  <si>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</si>
  <si>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</si>
  <si>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</si>
  <si>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</si>
  <si>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</si>
  <si>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</si>
  <si>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</si>
  <si>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</si>
  <si>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</si>
  <si>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</si>
  <si>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</si>
  <si>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</si>
  <si>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</si>
  <si>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</si>
  <si>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</si>
  <si>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</si>
  <si>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</si>
  <si>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</si>
  <si>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</si>
  <si>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</si>
  <si>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</si>
  <si>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</si>
  <si>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</si>
  <si>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</si>
  <si>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</si>
  <si>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</si>
  <si>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</si>
  <si>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</si>
  <si>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</si>
  <si>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</si>
  <si>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</si>
  <si>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</si>
  <si>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</si>
  <si>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</si>
  <si>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</si>
  <si>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</si>
  <si>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</si>
  <si>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</si>
  <si>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</si>
  <si>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</si>
  <si>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</si>
  <si>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</si>
  <si>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</si>
  <si>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</si>
  <si>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</si>
  <si>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</si>
  <si>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</si>
  <si>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</si>
  <si>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</si>
  <si>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</si>
  <si>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</si>
  <si>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</si>
  <si>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</si>
  <si>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</si>
  <si>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</si>
  <si>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</si>
  <si>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</si>
  <si>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</si>
  <si>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</si>
  <si>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</si>
  <si>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</si>
  <si>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</si>
  <si>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</si>
  <si>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</si>
  <si>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</si>
  <si>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</si>
  <si>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</si>
  <si>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</si>
  <si>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</si>
  <si>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</si>
  <si>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</si>
  <si>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</si>
  <si>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</si>
  <si>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</si>
  <si>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</si>
  <si>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</si>
  <si>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</si>
  <si>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</si>
  <si>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</si>
  <si>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</si>
  <si>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</si>
  <si>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</si>
  <si>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</si>
  <si>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</si>
  <si>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</si>
  <si>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</si>
  <si>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</si>
  <si>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</si>
  <si>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</si>
  <si>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</si>
  <si>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</si>
  <si>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</si>
  <si>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</si>
  <si>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</si>
  <si>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</si>
  <si>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</si>
  <si>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</si>
  <si>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</si>
  <si>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</si>
  <si>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</si>
  <si>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</si>
  <si>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</si>
  <si>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</si>
  <si>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</si>
  <si>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</si>
  <si>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</si>
  <si>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</si>
  <si>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</si>
  <si>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</si>
  <si>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</si>
  <si>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</si>
  <si>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</si>
  <si>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</si>
  <si>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</si>
  <si>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</si>
  <si>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</si>
  <si>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</si>
  <si>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</si>
  <si>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</si>
  <si>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</si>
  <si>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</si>
  <si>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</si>
  <si>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</si>
  <si>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</si>
  <si>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</si>
  <si>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</si>
  <si>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</si>
  <si>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</si>
  <si>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</si>
  <si>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</si>
  <si>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</si>
  <si>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</si>
  <si>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</si>
  <si>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</si>
  <si>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</si>
  <si>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</si>
  <si>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</si>
  <si>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</si>
  <si>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</si>
  <si>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</si>
  <si>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</si>
  <si>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</si>
  <si>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</si>
  <si>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</si>
  <si>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</si>
  <si>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</si>
  <si>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</si>
  <si>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</si>
  <si>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</si>
  <si>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</si>
  <si>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</si>
  <si>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</si>
  <si>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</si>
  <si>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</si>
  <si>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</si>
  <si>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</si>
  <si>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</si>
  <si>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</si>
  <si>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</si>
  <si>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</si>
  <si>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</si>
  <si>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</si>
  <si>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</si>
  <si>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</si>
  <si>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</si>
  <si>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</si>
  <si>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</si>
  <si>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</si>
  <si>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</si>
  <si>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</si>
  <si>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</si>
  <si>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</si>
  <si>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</si>
  <si>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</si>
  <si>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</si>
  <si>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</si>
  <si>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</si>
  <si>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</si>
  <si>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</si>
  <si>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</si>
  <si>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</si>
  <si>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</si>
  <si>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</si>
  <si>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</si>
  <si>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</si>
  <si>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</si>
  <si>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</si>
  <si>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</si>
  <si>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</si>
  <si>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</si>
  <si>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</si>
  <si>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</si>
  <si>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</si>
  <si>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</si>
  <si>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</si>
  <si>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</si>
  <si>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</si>
  <si>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</si>
  <si>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</si>
  <si>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</si>
  <si>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</si>
  <si>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</si>
  <si>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</si>
  <si>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</si>
  <si>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</si>
  <si>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</si>
  <si>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</si>
  <si>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</si>
  <si>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</si>
  <si>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</si>
  <si>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</si>
  <si>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</si>
  <si>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</si>
  <si>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</si>
  <si>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</si>
  <si>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</si>
  <si>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</si>
  <si>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</si>
  <si>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</si>
  <si>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</si>
  <si>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</si>
  <si>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</si>
  <si>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</si>
  <si>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</si>
  <si>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</si>
  <si>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</si>
  <si>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</si>
  <si>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</si>
  <si>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</si>
  <si>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</si>
  <si>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</si>
  <si>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</si>
  <si>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</si>
  <si>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</si>
  <si>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</si>
  <si>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</si>
  <si>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</si>
  <si>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</si>
  <si>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</si>
  <si>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</si>
  <si>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</si>
  <si>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</si>
  <si>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</si>
  <si>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</si>
  <si>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</si>
  <si>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</si>
  <si>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</si>
  <si>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</si>
  <si>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</si>
  <si>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</si>
  <si>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</si>
  <si>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</si>
  <si>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</si>
  <si>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</si>
  <si>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</si>
  <si>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</si>
  <si>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</si>
  <si>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</si>
  <si>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</si>
  <si>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</si>
  <si>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</si>
  <si>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</si>
  <si>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</si>
  <si>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</si>
  <si>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</si>
  <si>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</si>
  <si>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</si>
  <si>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</si>
  <si>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</si>
  <si>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</si>
  <si>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</si>
  <si>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</si>
  <si>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</si>
  <si>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</si>
  <si>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</si>
  <si>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</si>
  <si>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</si>
  <si>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</si>
  <si>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</si>
  <si>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</si>
  <si>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</si>
  <si>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</si>
  <si>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</si>
  <si>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</si>
  <si>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</si>
  <si>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</si>
  <si>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</si>
  <si>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</si>
  <si>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</si>
  <si>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</si>
  <si>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</si>
  <si>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</si>
  <si>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</si>
  <si>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</si>
  <si>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</si>
  <si>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</si>
  <si>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</si>
  <si>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</si>
  <si>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</si>
  <si>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</si>
  <si>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</si>
  <si>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</si>
  <si>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</si>
  <si>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</si>
  <si>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</si>
  <si>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</si>
  <si>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</si>
  <si>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</si>
  <si>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</si>
  <si>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</si>
  <si>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</si>
  <si>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</si>
  <si>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</si>
  <si>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</si>
  <si>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</si>
  <si>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</si>
  <si>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</si>
  <si>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</si>
  <si>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</si>
  <si>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</si>
  <si>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</si>
  <si>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</si>
  <si>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</si>
  <si>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</si>
  <si>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</si>
  <si>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</si>
  <si>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</si>
  <si>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</si>
  <si>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</si>
  <si>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</si>
  <si>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</si>
  <si>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</si>
  <si>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</si>
  <si>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</si>
  <si>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</si>
  <si>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</si>
  <si>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</si>
  <si>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</si>
  <si>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</si>
  <si>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</si>
  <si>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</si>
  <si>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</si>
  <si>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</si>
  <si>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</si>
  <si>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</si>
  <si>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</si>
  <si>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</si>
  <si>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</si>
  <si>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</si>
  <si>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</si>
  <si>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</si>
  <si>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</si>
  <si>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</si>
  <si>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</si>
  <si>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</si>
  <si>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</si>
  <si>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</si>
  <si>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</si>
  <si>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</si>
  <si>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</si>
  <si>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</si>
  <si>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</si>
  <si>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</si>
  <si>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</si>
  <si>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</si>
  <si>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</si>
  <si>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</si>
  <si>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</si>
  <si>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</si>
  <si>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</si>
  <si>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</si>
  <si>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</si>
  <si>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</si>
  <si>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</si>
  <si>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</si>
  <si>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</si>
  <si>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</si>
  <si>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</si>
  <si>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</si>
  <si>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</si>
  <si>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</si>
  <si>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</si>
  <si>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</si>
  <si>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</si>
  <si>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</si>
  <si>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</si>
  <si>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</si>
  <si>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</si>
  <si>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</si>
  <si>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</si>
  <si>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</si>
  <si>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</si>
  <si>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</si>
  <si>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</si>
  <si>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</si>
  <si>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</si>
  <si>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</si>
  <si>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</si>
  <si>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</si>
  <si>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</si>
  <si>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</si>
  <si>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</si>
  <si>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</si>
  <si>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</si>
  <si>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</si>
  <si>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</si>
  <si>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</si>
  <si>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</si>
  <si>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</si>
  <si>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</si>
  <si>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</si>
  <si>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</si>
  <si>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</si>
  <si>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</si>
  <si>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</si>
  <si>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</si>
  <si>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</si>
  <si>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</si>
  <si>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</si>
  <si>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</si>
  <si>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</si>
  <si>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</si>
  <si>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</si>
  <si>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</si>
  <si>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</si>
  <si>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</si>
  <si>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</si>
  <si>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</si>
  <si>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</si>
  <si>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</si>
  <si>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</si>
  <si>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</si>
  <si>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</si>
  <si>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</si>
  <si>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</si>
  <si>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</si>
  <si>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</si>
  <si>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</si>
  <si>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</si>
  <si>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</si>
  <si>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</si>
  <si>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</si>
  <si>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</si>
  <si>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</si>
  <si>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</si>
  <si>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</si>
  <si>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</si>
  <si>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</si>
  <si>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</si>
  <si>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</si>
  <si>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</si>
  <si>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</si>
  <si>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</si>
  <si>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</si>
  <si>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</si>
  <si>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</si>
  <si>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</si>
  <si>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</si>
  <si>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</si>
  <si>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</si>
  <si>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</si>
  <si>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</si>
  <si>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</si>
  <si>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</si>
  <si>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</si>
  <si>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</si>
  <si>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</si>
  <si>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</si>
  <si>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</si>
  <si>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</si>
  <si>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</si>
  <si>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</si>
  <si>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</si>
  <si>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</si>
  <si>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</si>
  <si>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</si>
  <si>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</si>
  <si>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</si>
  <si>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</si>
  <si>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</si>
  <si>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</si>
  <si>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</si>
  <si>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</si>
  <si>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</si>
  <si>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</si>
  <si>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</si>
  <si>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</si>
  <si>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</si>
  <si>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</si>
  <si>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</si>
  <si>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</si>
  <si>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</si>
  <si>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</si>
  <si>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</si>
  <si>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</si>
  <si>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</si>
  <si>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</si>
  <si>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</si>
  <si>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</si>
  <si>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</si>
  <si>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</si>
  <si>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</si>
  <si>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</si>
  <si>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</si>
  <si>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</si>
  <si>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</si>
  <si>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</si>
  <si>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</si>
  <si>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</si>
  <si>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</si>
  <si>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</si>
  <si>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</si>
  <si>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</si>
  <si>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</si>
  <si>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</si>
  <si>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</si>
  <si>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</si>
  <si>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</si>
  <si>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</si>
  <si>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</si>
  <si>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</si>
  <si>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</si>
  <si>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</si>
  <si>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</si>
  <si>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</si>
  <si>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</si>
  <si>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</si>
  <si>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</si>
  <si>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</si>
  <si>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</si>
  <si>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</si>
  <si>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</si>
  <si>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</si>
  <si>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</si>
  <si>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</si>
  <si>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</si>
  <si>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</si>
  <si>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</si>
  <si>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</si>
  <si>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</si>
  <si>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</si>
  <si>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</si>
  <si>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</si>
  <si>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</si>
  <si>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</si>
  <si>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</si>
  <si>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</si>
  <si>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</si>
  <si>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</si>
  <si>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</si>
  <si>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</si>
  <si>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</si>
  <si>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</si>
  <si>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</si>
  <si>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</si>
  <si>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</si>
  <si>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</si>
  <si>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</si>
  <si>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</si>
  <si>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</si>
  <si>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</si>
  <si>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</si>
  <si>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</si>
  <si>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</si>
  <si>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</si>
  <si>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</si>
  <si>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</si>
  <si>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</si>
  <si>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</si>
  <si>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</si>
  <si>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</si>
  <si>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</si>
  <si>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</si>
  <si>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</si>
  <si>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</si>
  <si>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</si>
  <si>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</si>
  <si>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</si>
  <si>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</si>
  <si>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</si>
  <si>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</si>
  <si>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</si>
  <si>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</si>
  <si>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</si>
  <si>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</si>
  <si>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</si>
  <si>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</si>
  <si>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</si>
  <si>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</si>
  <si>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</si>
  <si>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</si>
  <si>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</si>
  <si>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</si>
  <si>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</si>
  <si>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</si>
  <si>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</si>
  <si>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</si>
  <si>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</si>
  <si>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</si>
  <si>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</si>
  <si>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</si>
  <si>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</si>
  <si>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</si>
  <si>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</si>
  <si>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</si>
  <si>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</si>
  <si>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</si>
  <si>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</si>
  <si>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</si>
  <si>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</si>
  <si>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</si>
  <si>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</si>
  <si>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</si>
  <si>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</si>
  <si>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</si>
  <si>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</si>
  <si>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</si>
  <si>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</si>
  <si>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</si>
  <si>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</si>
  <si>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</si>
  <si>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</si>
  <si>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</si>
  <si>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</si>
  <si>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</si>
  <si>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</si>
  <si>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</si>
  <si>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</si>
  <si>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</si>
  <si>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</si>
  <si>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</si>
  <si>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</si>
  <si>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</si>
  <si>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</si>
  <si>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</si>
  <si>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</si>
  <si>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</si>
  <si>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</si>
  <si>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</si>
  <si>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</si>
  <si>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</si>
  <si>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</si>
  <si>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</si>
  <si>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</si>
  <si>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</si>
  <si>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</si>
  <si>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</si>
  <si>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</si>
  <si>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</si>
  <si>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</si>
  <si>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</si>
  <si>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</si>
  <si>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</si>
  <si>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</si>
  <si>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</si>
  <si>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</si>
  <si>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</si>
  <si>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</si>
  <si>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</si>
  <si>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</si>
  <si>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</si>
  <si>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</si>
  <si>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</si>
  <si>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</si>
  <si>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</si>
  <si>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</si>
  <si>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</si>
  <si>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</si>
  <si>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</si>
  <si>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</si>
  <si>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</si>
  <si>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</si>
  <si>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</si>
  <si>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</si>
  <si>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</si>
  <si>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</si>
  <si>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</si>
  <si>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</si>
  <si>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</si>
  <si>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</si>
  <si>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</si>
  <si>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</si>
  <si>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</si>
  <si>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</si>
  <si>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</si>
  <si>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</si>
  <si>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</si>
  <si>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</si>
  <si>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</si>
  <si>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</si>
  <si>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</si>
  <si>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</si>
  <si>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</si>
  <si>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</si>
  <si>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</si>
  <si>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</si>
  <si>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</si>
  <si>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</si>
  <si>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</si>
  <si>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</si>
  <si>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</si>
  <si>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</si>
  <si>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</si>
  <si>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</si>
  <si>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</si>
  <si>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</si>
  <si>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</si>
  <si>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</si>
  <si>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</si>
  <si>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</si>
  <si>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</si>
  <si>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</si>
  <si>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</si>
  <si>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</si>
  <si>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</si>
  <si>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</si>
  <si>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</si>
  <si>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</si>
  <si>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</si>
  <si>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</si>
  <si>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</si>
  <si>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</si>
  <si>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</si>
  <si>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</si>
  <si>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</si>
  <si>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</si>
  <si>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</si>
  <si>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</si>
  <si>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</si>
  <si>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</si>
  <si>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</si>
  <si>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</si>
  <si>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</si>
  <si>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</si>
  <si>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</si>
  <si>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</si>
  <si>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</si>
  <si>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</si>
  <si>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</si>
  <si>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</si>
  <si>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</si>
  <si>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</si>
  <si>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</si>
  <si>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</si>
  <si>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</si>
  <si>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</si>
  <si>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</si>
  <si>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</si>
  <si>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</si>
  <si>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</si>
  <si>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</si>
  <si>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</si>
  <si>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</si>
  <si>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</si>
  <si>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</si>
  <si>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</si>
  <si>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</si>
  <si>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</si>
  <si>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</si>
  <si>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</si>
  <si>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</si>
  <si>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</si>
  <si>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</si>
  <si>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</si>
  <si>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</si>
  <si>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</si>
  <si>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</si>
  <si>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</si>
  <si>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</si>
  <si>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</si>
  <si>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</si>
  <si>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</si>
  <si>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</si>
  <si>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</si>
  <si>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</si>
  <si>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</si>
  <si>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</si>
  <si>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</si>
  <si>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</si>
  <si>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</si>
  <si>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</si>
  <si>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</si>
  <si>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</si>
  <si>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</si>
  <si>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</si>
  <si>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</si>
  <si>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</si>
  <si>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</si>
  <si>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</si>
  <si>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</si>
  <si>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</si>
  <si>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</si>
  <si>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</si>
  <si>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</si>
  <si>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</si>
  <si>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</si>
  <si>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</si>
  <si>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</si>
  <si>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</si>
  <si>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</si>
  <si>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</si>
  <si>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</si>
  <si>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</si>
  <si>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</si>
  <si>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</si>
  <si>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</si>
  <si>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</si>
  <si>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</si>
  <si>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</si>
  <si>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</si>
  <si>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</si>
  <si>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</si>
  <si>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</si>
  <si>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</si>
  <si>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</si>
  <si>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</si>
  <si>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</si>
  <si>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</si>
  <si>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</si>
  <si>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</si>
  <si>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</si>
  <si>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</si>
  <si>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</si>
  <si>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</si>
  <si>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</si>
  <si>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</si>
  <si>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</si>
  <si>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</si>
  <si>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</si>
  <si>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</si>
  <si>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</si>
  <si>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</si>
  <si>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</si>
  <si>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</si>
  <si>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</si>
  <si>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</si>
  <si>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</si>
  <si>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</si>
  <si>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</si>
  <si>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</si>
  <si>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</si>
  <si>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</si>
  <si>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</si>
  <si>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</si>
  <si>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</si>
  <si>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</si>
  <si>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</si>
  <si>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</si>
  <si>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</si>
  <si>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</si>
  <si>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</si>
  <si>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</si>
  <si>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</si>
  <si>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</si>
  <si>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</si>
  <si>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</si>
  <si>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</si>
  <si>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</si>
  <si>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</si>
  <si>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</si>
  <si>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</si>
  <si>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</si>
  <si>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</si>
  <si>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</si>
  <si>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</si>
  <si>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</si>
  <si>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</si>
  <si>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</si>
  <si>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</si>
  <si>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</si>
  <si>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</si>
  <si>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</si>
  <si>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</si>
  <si>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</si>
  <si>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</si>
  <si>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</si>
  <si>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</si>
  <si>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</si>
  <si>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</si>
  <si>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</si>
  <si>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</si>
  <si>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</si>
  <si>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</si>
  <si>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</si>
  <si>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</si>
  <si>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</si>
  <si>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</si>
  <si>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</si>
  <si>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</si>
  <si>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</si>
  <si>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</si>
  <si>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</si>
  <si>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</si>
  <si>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</si>
  <si>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</si>
  <si>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</si>
  <si>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</si>
  <si>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</si>
  <si>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</si>
  <si>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</si>
  <si>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</si>
  <si>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</si>
  <si>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</si>
  <si>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</si>
  <si>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</si>
  <si>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</si>
  <si>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</si>
  <si>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</si>
  <si>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</si>
  <si>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</si>
  <si>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</si>
  <si>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</si>
  <si>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</si>
  <si>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</si>
  <si>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</si>
  <si>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</si>
  <si>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</si>
  <si>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</si>
  <si>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</si>
  <si>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</si>
  <si>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</si>
  <si>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</si>
  <si>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</si>
  <si>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</si>
  <si>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</si>
  <si>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</si>
  <si>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</si>
  <si>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</si>
  <si>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</si>
  <si>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</si>
  <si>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</si>
  <si>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</si>
  <si>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</si>
  <si>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</si>
  <si>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</si>
  <si>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</si>
  <si>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</si>
  <si>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</si>
  <si>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</si>
  <si>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</si>
  <si>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</si>
  <si>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</si>
  <si>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</si>
  <si>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</si>
  <si>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</si>
  <si>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</si>
  <si>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</si>
  <si>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</si>
  <si>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</si>
  <si>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</si>
  <si>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</si>
  <si>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</si>
  <si>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</si>
  <si>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</si>
  <si>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</si>
  <si>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</si>
  <si>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</si>
  <si>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</si>
  <si>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</si>
  <si>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</si>
  <si>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</si>
  <si>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</si>
  <si>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</si>
  <si>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</si>
  <si>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</si>
  <si>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</si>
  <si>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</si>
  <si>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</si>
  <si>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</si>
  <si>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</si>
  <si>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</si>
  <si>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</si>
  <si>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</si>
  <si>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</si>
  <si>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</si>
  <si>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</si>
  <si>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</si>
  <si>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</si>
  <si>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</si>
  <si>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</si>
  <si>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</si>
  <si>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</si>
  <si>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</si>
  <si>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</si>
  <si>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</si>
  <si>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</si>
  <si>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</si>
  <si>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</si>
  <si>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</si>
  <si>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</si>
  <si>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</si>
  <si>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</si>
  <si>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</si>
  <si>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</si>
  <si>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</si>
  <si>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</si>
  <si>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</si>
  <si>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</si>
  <si>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</si>
  <si>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</si>
  <si>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</si>
  <si>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</si>
  <si>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</si>
  <si>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</si>
  <si>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</si>
  <si>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</si>
  <si>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</si>
  <si>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</si>
  <si>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</si>
  <si>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</si>
  <si>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</si>
  <si>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</si>
  <si>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</si>
  <si>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</si>
  <si>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</si>
  <si>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</si>
  <si>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</si>
  <si>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</si>
  <si>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</si>
  <si>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</si>
  <si>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</si>
  <si>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</si>
  <si>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</si>
  <si>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</si>
  <si>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</si>
  <si>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</si>
  <si>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</si>
  <si>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</si>
  <si>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</si>
  <si>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</si>
  <si>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</si>
  <si>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</si>
  <si>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</si>
  <si>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</si>
  <si>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</si>
  <si>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</si>
  <si>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</si>
  <si>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</si>
  <si>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</si>
  <si>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</si>
  <si>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</si>
  <si>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</si>
  <si>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</si>
  <si>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</si>
  <si>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</si>
  <si>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</si>
  <si>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</si>
  <si>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</si>
  <si>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</si>
  <si>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</si>
  <si>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</si>
  <si>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</si>
  <si>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</si>
  <si>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</si>
  <si>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</si>
  <si>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</si>
  <si>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</si>
  <si>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</si>
  <si>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</si>
  <si>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</si>
  <si>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</si>
  <si>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</si>
  <si>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</si>
  <si>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</si>
  <si>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</si>
  <si>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</si>
  <si>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</si>
  <si>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</si>
  <si>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</si>
  <si>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</si>
  <si>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</si>
  <si>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</si>
  <si>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</si>
  <si>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</si>
  <si>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</si>
  <si>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</si>
  <si>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</si>
  <si>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</si>
  <si>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</si>
  <si>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</si>
  <si>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</si>
  <si>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</si>
  <si>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</si>
  <si>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</si>
  <si>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</si>
  <si>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</si>
  <si>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</si>
  <si>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</si>
  <si>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</si>
  <si>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</si>
  <si>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</si>
  <si>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</si>
  <si>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</si>
  <si>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</si>
  <si>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</si>
  <si>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</si>
  <si>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</si>
  <si>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</si>
  <si>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</si>
  <si>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</si>
  <si>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</si>
  <si>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</si>
  <si>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</si>
  <si>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</si>
  <si>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</si>
  <si>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</si>
  <si>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</si>
  <si>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</si>
  <si>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</si>
  <si>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</si>
  <si>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</si>
  <si>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</si>
  <si>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</si>
  <si>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</si>
  <si>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</si>
  <si>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</si>
  <si>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</si>
  <si>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</si>
  <si>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</si>
  <si>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</si>
  <si>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</si>
  <si>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</si>
  <si>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</si>
  <si>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</si>
  <si>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</si>
  <si>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</si>
  <si>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</si>
  <si>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</si>
  <si>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</si>
  <si>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</si>
  <si>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</si>
  <si>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</si>
  <si>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</si>
  <si>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</si>
  <si>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</si>
  <si>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</si>
  <si>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</si>
  <si>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</si>
  <si>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</si>
  <si>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</si>
  <si>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</si>
  <si>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</si>
  <si>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</si>
  <si>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</si>
  <si>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</si>
  <si>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</si>
  <si>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</si>
  <si>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</si>
  <si>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</si>
  <si>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</si>
  <si>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</si>
  <si>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</si>
  <si>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</si>
  <si>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</si>
  <si>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</si>
  <si>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</si>
  <si>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</si>
  <si>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</si>
  <si>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</si>
  <si>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</si>
  <si>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</si>
  <si>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</si>
  <si>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</si>
  <si>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</si>
  <si>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</si>
  <si>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</si>
  <si>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</si>
  <si>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</si>
  <si>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</si>
  <si>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</si>
  <si>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</si>
  <si>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</si>
  <si>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</si>
  <si>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</si>
  <si>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</si>
  <si>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</si>
  <si>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</si>
  <si>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</si>
  <si>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</si>
  <si>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</si>
  <si>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</si>
  <si>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</si>
  <si>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</si>
  <si>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</si>
  <si>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</si>
  <si>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</si>
  <si>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</si>
  <si>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</si>
  <si>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</si>
  <si>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</si>
  <si>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</si>
  <si>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</si>
  <si>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</si>
  <si>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</si>
  <si>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</si>
  <si>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</si>
  <si>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</si>
  <si>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</si>
  <si>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</si>
  <si>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</si>
  <si>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</si>
  <si>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</si>
  <si>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</si>
  <si>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</si>
  <si>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</si>
  <si>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</si>
  <si>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</si>
  <si>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</si>
  <si>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</si>
  <si>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</si>
  <si>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</si>
  <si>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</si>
  <si>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</si>
  <si>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</si>
  <si>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</si>
  <si>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</si>
  <si>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</si>
  <si>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</si>
  <si>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</si>
  <si>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</si>
  <si>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</si>
  <si>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</si>
  <si>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</si>
  <si>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</si>
  <si>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</si>
  <si>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</si>
  <si>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</si>
  <si>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</si>
  <si>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</si>
  <si>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</si>
  <si>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</si>
  <si>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</si>
  <si>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</si>
  <si>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</si>
  <si>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</si>
  <si>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</si>
  <si>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</si>
  <si>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</si>
  <si>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</si>
  <si>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</si>
  <si>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</si>
  <si>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</si>
  <si>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</si>
  <si>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</si>
  <si>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</si>
  <si>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</si>
  <si>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</si>
  <si>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</si>
  <si>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</si>
  <si>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</si>
  <si>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</si>
  <si>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</si>
  <si>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</si>
  <si>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</si>
  <si>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</si>
  <si>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</si>
  <si>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</si>
  <si>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</si>
  <si>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</si>
  <si>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</si>
  <si>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</si>
  <si>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</si>
  <si>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</si>
  <si>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</si>
  <si>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</si>
  <si>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</si>
  <si>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</si>
  <si>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</si>
  <si>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</si>
  <si>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</si>
  <si>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</si>
  <si>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</si>
  <si>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</si>
  <si>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</si>
  <si>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</si>
  <si>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</si>
  <si>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</si>
  <si>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</si>
  <si>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</si>
  <si>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</si>
  <si>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</si>
  <si>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</si>
  <si>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</si>
  <si>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</si>
  <si>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</si>
  <si>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</si>
  <si>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</si>
  <si>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</si>
  <si>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</si>
  <si>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</si>
  <si>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</si>
  <si>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</si>
  <si>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</si>
  <si>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</si>
  <si>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</si>
  <si>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</si>
  <si>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</si>
  <si>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</si>
  <si>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</si>
  <si>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</si>
  <si>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</si>
  <si>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</si>
  <si>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</si>
  <si>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</si>
  <si>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</si>
  <si>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</si>
  <si>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</si>
  <si>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</si>
  <si>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</si>
  <si>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</si>
  <si>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</si>
  <si>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</si>
  <si>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</si>
  <si>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</si>
  <si>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</si>
  <si>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</si>
  <si>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</si>
  <si>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</si>
  <si>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</si>
  <si>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</si>
  <si>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</si>
  <si>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</si>
  <si>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</si>
  <si>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</si>
  <si>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</si>
  <si>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</si>
  <si>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</si>
  <si>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</si>
  <si>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</si>
  <si>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</si>
  <si>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</si>
  <si>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</si>
  <si>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</si>
  <si>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</si>
  <si>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</si>
  <si>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</si>
  <si>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</si>
  <si>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</si>
  <si>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</si>
  <si>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</si>
  <si>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</si>
  <si>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</si>
  <si>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</si>
  <si>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</si>
  <si>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</si>
  <si>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</si>
  <si>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</si>
  <si>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</si>
  <si>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</si>
  <si>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</si>
  <si>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</si>
  <si>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</si>
  <si>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</si>
  <si>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</si>
  <si>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</si>
  <si>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</si>
  <si>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</si>
  <si>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</si>
  <si>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</si>
  <si>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</si>
  <si>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</si>
  <si>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</si>
  <si>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</si>
  <si>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</si>
  <si>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</si>
  <si>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</si>
  <si>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</si>
  <si>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</si>
  <si>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</si>
  <si>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</si>
  <si>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</si>
  <si>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</si>
  <si>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</si>
  <si>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</si>
  <si>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</si>
  <si>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</si>
  <si>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</si>
  <si>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</si>
  <si>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</si>
  <si>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</si>
  <si>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</si>
  <si>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</si>
  <si>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</si>
  <si>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</si>
  <si>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</si>
  <si>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</si>
  <si>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</si>
  <si>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</si>
  <si>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</si>
  <si>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</si>
  <si>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</si>
  <si>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</si>
  <si>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</si>
  <si>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</si>
  <si>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</si>
  <si>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</si>
  <si>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</si>
  <si>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</si>
  <si>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</si>
  <si>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</si>
  <si>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</si>
  <si>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</si>
  <si>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</si>
  <si>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</si>
  <si>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</si>
  <si>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</si>
  <si>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</si>
  <si>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</si>
  <si>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</si>
  <si>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</si>
  <si>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</si>
  <si>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</si>
  <si>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</si>
  <si>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</si>
  <si>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</si>
  <si>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</si>
  <si>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</si>
  <si>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</si>
  <si>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</si>
  <si>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</si>
  <si>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</si>
  <si>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</si>
  <si>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</si>
  <si>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</si>
  <si>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</si>
  <si>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</si>
  <si>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</si>
  <si>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</si>
  <si>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</si>
  <si>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</si>
  <si>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</si>
  <si>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</si>
  <si>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</si>
  <si>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</si>
  <si>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</si>
  <si>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</si>
  <si>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</si>
  <si>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</si>
  <si>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</si>
  <si>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</si>
  <si>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</si>
  <si>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</si>
  <si>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</si>
  <si>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</si>
  <si>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</si>
  <si>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</si>
  <si>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</si>
  <si>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</si>
  <si>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</si>
  <si>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</si>
  <si>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</si>
  <si>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</si>
  <si>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</si>
  <si>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</si>
  <si>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</si>
  <si>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</si>
  <si>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</si>
  <si>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</si>
  <si>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</si>
  <si>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</si>
  <si>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</si>
  <si>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</si>
  <si>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</si>
  <si>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</si>
  <si>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</si>
  <si>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</si>
  <si>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</si>
  <si>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</si>
  <si>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</si>
  <si>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</si>
  <si>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</si>
  <si>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</si>
  <si>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</si>
  <si>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</si>
  <si>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</si>
  <si>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</si>
  <si>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</si>
  <si>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</si>
  <si>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</si>
  <si>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</si>
  <si>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</si>
  <si>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</si>
  <si>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</si>
  <si>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</si>
  <si>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</si>
  <si>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</si>
  <si>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</si>
  <si>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</si>
  <si>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</si>
  <si>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</si>
  <si>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</si>
  <si>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</si>
  <si>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</si>
  <si>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</si>
  <si>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</si>
  <si>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</si>
  <si>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</si>
  <si>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</si>
  <si>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</si>
  <si>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</si>
  <si>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</si>
  <si>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</si>
  <si>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</si>
  <si>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</si>
  <si>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</si>
  <si>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</si>
  <si>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</si>
  <si>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</si>
  <si>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</si>
  <si>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</si>
  <si>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</si>
  <si>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</si>
  <si>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</si>
  <si>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</si>
  <si>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</si>
  <si>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</si>
  <si>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</si>
  <si>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</si>
  <si>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</si>
  <si>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</si>
  <si>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</si>
  <si>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</si>
  <si>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</si>
  <si>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</si>
  <si>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</si>
  <si>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</si>
  <si>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</si>
  <si>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</si>
  <si>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</si>
  <si>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</si>
  <si>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</si>
  <si>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</si>
  <si>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</si>
  <si>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</si>
  <si>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</si>
  <si>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</si>
  <si>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</si>
  <si>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</si>
  <si>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</si>
  <si>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</si>
  <si>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</si>
  <si>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</si>
  <si>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</si>
  <si>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</si>
  <si>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</si>
  <si>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</si>
  <si>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</si>
  <si>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</si>
  <si>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</si>
  <si>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</si>
  <si>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</si>
  <si>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</si>
  <si>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</si>
  <si>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</si>
  <si>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</si>
  <si>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</si>
  <si>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</si>
  <si>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</si>
  <si>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</si>
  <si>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</si>
  <si>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</si>
  <si>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</si>
  <si>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</si>
  <si>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</si>
  <si>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</si>
  <si>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</si>
  <si>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</si>
  <si>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</si>
  <si>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</si>
  <si>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</si>
  <si>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</si>
  <si>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</si>
  <si>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</si>
  <si>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</si>
  <si>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</si>
  <si>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</si>
  <si>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</si>
  <si>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</si>
  <si>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</si>
  <si>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</si>
  <si>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</si>
  <si>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</si>
  <si>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</si>
  <si>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</si>
  <si>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</si>
  <si>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</si>
  <si>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</si>
  <si>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</si>
  <si>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</si>
  <si>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</si>
  <si>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</si>
  <si>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</si>
  <si>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</si>
  <si>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</si>
  <si>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</si>
  <si>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</si>
  <si>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</si>
  <si>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</si>
  <si>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</si>
  <si>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</si>
  <si>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</si>
  <si>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</si>
  <si>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</si>
  <si>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</si>
  <si>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</si>
  <si>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</si>
  <si>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</si>
  <si>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</si>
  <si>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</si>
  <si>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</si>
  <si>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</si>
  <si>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</si>
  <si>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</si>
  <si>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</si>
  <si>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</si>
  <si>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</si>
  <si>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</si>
  <si>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</si>
  <si>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</si>
  <si>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</si>
  <si>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</si>
  <si>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</si>
  <si>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</si>
  <si>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</si>
  <si>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</si>
  <si>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</si>
  <si>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</si>
  <si>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</si>
  <si>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</si>
  <si>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</si>
  <si>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</si>
  <si>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</si>
  <si>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</si>
  <si>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</si>
  <si>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</si>
  <si>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</si>
  <si>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</si>
  <si>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</si>
  <si>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</si>
  <si>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</si>
  <si>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</si>
  <si>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</si>
  <si>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</si>
  <si>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</si>
  <si>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</si>
  <si>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</si>
  <si>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</si>
  <si>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</si>
  <si>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</si>
  <si>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</si>
  <si>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</si>
  <si>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</si>
  <si>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</si>
  <si>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</si>
  <si>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</si>
  <si>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</si>
  <si>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</si>
  <si>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</si>
  <si>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</si>
  <si>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</si>
  <si>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</si>
  <si>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</si>
  <si>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</si>
  <si>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</si>
  <si>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</si>
  <si>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</si>
  <si>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</si>
  <si>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</si>
  <si>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</si>
  <si>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</si>
  <si>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</si>
  <si>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</si>
  <si>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</si>
  <si>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</si>
  <si>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</si>
  <si>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</si>
  <si>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</si>
  <si>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</si>
  <si>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</si>
  <si>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</si>
  <si>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</si>
  <si>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</si>
  <si>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</si>
  <si>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</si>
  <si>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</si>
  <si>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</si>
  <si>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</si>
  <si>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</si>
  <si>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</si>
  <si>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</si>
  <si>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</si>
  <si>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</si>
  <si>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</si>
  <si>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</si>
  <si>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</si>
  <si>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</si>
  <si>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</si>
  <si>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</si>
  <si>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</si>
  <si>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</si>
  <si>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</si>
  <si>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</si>
  <si>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</si>
  <si>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</si>
  <si>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</si>
  <si>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</si>
  <si>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</si>
  <si>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</si>
  <si>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</si>
  <si>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</si>
  <si>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</si>
  <si>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</si>
  <si>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</si>
  <si>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</si>
  <si>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</si>
  <si>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</si>
  <si>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</si>
  <si>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</si>
  <si>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</si>
  <si>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</si>
  <si>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</si>
  <si>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</si>
  <si>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</si>
  <si>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</si>
  <si>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</si>
  <si>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</si>
  <si>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</si>
  <si>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</si>
  <si>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</si>
  <si>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</si>
  <si>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</si>
  <si>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</si>
  <si>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</si>
  <si>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</si>
  <si>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</si>
  <si>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</si>
  <si>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</si>
  <si>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</si>
  <si>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</si>
  <si>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</si>
  <si>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</si>
  <si>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</si>
  <si>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</si>
  <si>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</si>
  <si>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</si>
  <si>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</si>
  <si>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</si>
  <si>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</si>
  <si>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</si>
  <si>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</si>
  <si>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</si>
  <si>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</si>
  <si>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</si>
  <si>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</si>
  <si>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</si>
  <si>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</si>
  <si>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</si>
  <si>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</si>
  <si>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</si>
  <si>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</si>
  <si>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</si>
  <si>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</si>
  <si>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</si>
  <si>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</si>
  <si>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</si>
  <si>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</si>
  <si>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</si>
  <si>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</si>
  <si>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</si>
  <si>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</si>
  <si>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</si>
  <si>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</si>
  <si>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</si>
  <si>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</si>
  <si>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</si>
  <si>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</si>
  <si>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</si>
  <si>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</si>
  <si>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</si>
  <si>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</si>
  <si>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</si>
  <si>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</si>
  <si>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</si>
  <si>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</si>
  <si>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</si>
  <si>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</si>
  <si>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</si>
  <si>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</si>
  <si>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</si>
  <si>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</si>
  <si>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</si>
  <si>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</si>
  <si>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</si>
  <si>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</si>
  <si>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</si>
  <si>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</si>
  <si>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</si>
  <si>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</si>
  <si>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</si>
  <si>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</si>
  <si>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</si>
  <si>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</si>
  <si>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</si>
  <si>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</si>
  <si>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</si>
  <si>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</si>
  <si>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</si>
  <si>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</si>
  <si>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</si>
  <si>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</si>
  <si>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</si>
  <si>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</si>
  <si>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</si>
  <si>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</si>
  <si>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</si>
  <si>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</si>
  <si>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</si>
  <si>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</si>
  <si>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</si>
  <si>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</si>
  <si>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</si>
  <si>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</si>
  <si>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</si>
  <si>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</si>
  <si>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</si>
  <si>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</si>
  <si>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</si>
  <si>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</si>
  <si>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</si>
  <si>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</si>
  <si>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</si>
  <si>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</si>
  <si>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</si>
  <si>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</si>
  <si>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</si>
  <si>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</si>
  <si>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</si>
  <si>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</si>
  <si>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</si>
  <si>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</si>
  <si>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</si>
  <si>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</si>
  <si>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</si>
  <si>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</si>
  <si>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</si>
  <si>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</si>
  <si>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</si>
  <si>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</si>
  <si>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</si>
  <si>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</si>
  <si>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</si>
  <si>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</si>
  <si>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</si>
  <si>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</si>
  <si>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</si>
  <si>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</si>
  <si>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</si>
  <si>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</si>
  <si>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</si>
  <si>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</si>
  <si>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</si>
  <si>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</si>
  <si>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</si>
  <si>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</si>
  <si>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</si>
  <si>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</si>
  <si>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</si>
  <si>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</si>
  <si>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</si>
  <si>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</si>
  <si>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</si>
  <si>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</si>
  <si>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</si>
  <si>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</si>
  <si>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</si>
  <si>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</si>
  <si>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</si>
  <si>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</si>
  <si>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</si>
  <si>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</si>
  <si>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</si>
  <si>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</si>
  <si>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</si>
  <si>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</si>
  <si>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</si>
  <si>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</si>
  <si>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</si>
  <si>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</si>
  <si>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</si>
  <si>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</si>
  <si>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</si>
  <si>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</si>
  <si>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</si>
  <si>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</si>
  <si>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</si>
  <si>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</si>
  <si>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</si>
  <si>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</si>
  <si>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</si>
  <si>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</si>
  <si>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</si>
  <si>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</si>
  <si>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</si>
  <si>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</si>
  <si>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</si>
  <si>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</si>
  <si>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</si>
  <si>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</si>
  <si>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</si>
  <si>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</si>
  <si>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</si>
  <si>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</si>
  <si>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</si>
  <si>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</si>
  <si>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</si>
  <si>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</si>
  <si>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</si>
  <si>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</si>
  <si>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</si>
  <si>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</si>
  <si>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</si>
  <si>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</si>
  <si>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</si>
  <si>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</si>
  <si>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</si>
  <si>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</si>
  <si>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</si>
  <si>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</si>
  <si>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</si>
  <si>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</si>
  <si>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</si>
  <si>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</si>
  <si>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</si>
  <si>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</si>
  <si>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</si>
  <si>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</si>
  <si>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</si>
  <si>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</si>
  <si>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</si>
  <si>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</si>
  <si>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</si>
  <si>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</si>
  <si>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</si>
  <si>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</si>
  <si>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</si>
  <si>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</si>
  <si>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</si>
  <si>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</si>
  <si>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</si>
  <si>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</si>
  <si>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</si>
  <si>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</si>
  <si>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</si>
  <si>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</si>
  <si>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</si>
  <si>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</si>
  <si>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</si>
  <si>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</si>
  <si>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</si>
  <si>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</si>
  <si>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</si>
  <si>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</si>
  <si>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</si>
  <si>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</si>
  <si>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</si>
  <si>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</si>
  <si>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</si>
  <si>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</si>
  <si>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</si>
  <si>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</si>
  <si>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</si>
  <si>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</si>
  <si>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</si>
  <si>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</si>
  <si>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</si>
  <si>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</si>
  <si>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</si>
  <si>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</si>
  <si>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</si>
  <si>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</si>
  <si>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</si>
  <si>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</si>
  <si>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</si>
  <si>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</si>
  <si>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</si>
  <si>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</si>
  <si>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</si>
  <si>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</si>
  <si>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</si>
  <si>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</si>
  <si>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</si>
  <si>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</si>
  <si>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</si>
  <si>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</si>
  <si>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</si>
  <si>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</si>
  <si>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</si>
  <si>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</si>
  <si>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</si>
  <si>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</si>
  <si>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</si>
  <si>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</si>
  <si>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</si>
  <si>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</si>
  <si>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</si>
  <si>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</si>
  <si>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</si>
  <si>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</si>
  <si>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</si>
  <si>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</si>
  <si>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</si>
  <si>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</si>
  <si>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</si>
  <si>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</si>
  <si>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</si>
  <si>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</si>
  <si>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</si>
  <si>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</si>
  <si>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</si>
  <si>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</si>
  <si>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</si>
  <si>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</si>
  <si>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</si>
  <si>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</si>
  <si>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</si>
  <si>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</si>
  <si>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</si>
  <si>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</si>
  <si>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</si>
  <si>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</si>
  <si>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</si>
  <si>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</si>
  <si>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</si>
  <si>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</si>
  <si>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</si>
  <si>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</si>
  <si>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</si>
  <si>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</si>
  <si>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</si>
  <si>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</si>
  <si>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</si>
  <si>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</si>
  <si>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</si>
  <si>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</si>
  <si>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</si>
  <si>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</si>
  <si>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</si>
  <si>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</si>
  <si>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</si>
  <si>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</si>
  <si>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</si>
  <si>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</si>
  <si>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</si>
  <si>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</si>
  <si>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</si>
  <si>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</si>
  <si>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</si>
  <si>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</si>
  <si>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</si>
  <si>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</si>
  <si>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</si>
  <si>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</si>
  <si>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</si>
  <si>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</si>
  <si>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</si>
  <si>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</si>
  <si>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</si>
  <si>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</si>
  <si>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</si>
  <si>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</si>
  <si>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</si>
  <si>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</si>
  <si>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</si>
  <si>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</si>
  <si>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</si>
  <si>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</si>
  <si>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</si>
  <si>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</si>
  <si>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</si>
  <si>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</si>
  <si>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</si>
  <si>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</si>
  <si>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</si>
  <si>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</si>
  <si>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</si>
  <si>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</si>
  <si>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</si>
  <si>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</si>
  <si>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</si>
  <si>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</si>
  <si>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</si>
  <si>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</si>
  <si>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</si>
  <si>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</si>
  <si>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</si>
  <si>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</si>
  <si>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</si>
  <si>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</si>
  <si>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</si>
  <si>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</si>
  <si>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</si>
  <si>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</si>
  <si>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</si>
  <si>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</si>
  <si>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</si>
  <si>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</si>
  <si>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</si>
  <si>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</si>
  <si>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</si>
  <si>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</si>
  <si>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</si>
  <si>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</si>
  <si>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</si>
  <si>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</si>
  <si>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</si>
  <si>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</si>
  <si>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</si>
  <si>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</si>
  <si>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</si>
  <si>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</si>
  <si>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</si>
  <si>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</si>
  <si>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</si>
  <si>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</si>
  <si>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</si>
  <si>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</si>
  <si>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</si>
  <si>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</si>
  <si>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</si>
  <si>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</si>
  <si>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</si>
  <si>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</si>
  <si>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</si>
  <si>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</si>
  <si>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</si>
  <si>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</si>
  <si>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</si>
  <si>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</si>
  <si>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</si>
  <si>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</si>
  <si>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</si>
  <si>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</si>
  <si>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</si>
  <si>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</si>
  <si>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</si>
  <si>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</si>
  <si>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</si>
  <si>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</si>
  <si>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</si>
  <si>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</si>
  <si>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</si>
  <si>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</si>
  <si>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</si>
  <si>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</si>
  <si>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</si>
  <si>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</si>
  <si>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</si>
  <si>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</si>
  <si>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</si>
  <si>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</si>
  <si>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</si>
  <si>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</si>
  <si>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</si>
  <si>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</si>
  <si>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</si>
  <si>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</si>
  <si>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</si>
  <si>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</si>
  <si>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</si>
  <si>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</si>
  <si>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</si>
  <si>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</si>
  <si>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</si>
  <si>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</si>
  <si>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</si>
  <si>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</si>
  <si>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</si>
  <si>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</si>
  <si>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</si>
  <si>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</si>
  <si>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</si>
  <si>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</si>
  <si>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</si>
  <si>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</si>
  <si>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</si>
  <si>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</si>
  <si>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</si>
  <si>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</si>
  <si>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</si>
  <si>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</si>
  <si>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</si>
  <si>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</si>
  <si>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</si>
  <si>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</si>
  <si>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</si>
  <si>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</si>
  <si>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</si>
  <si>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</si>
  <si>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</si>
  <si>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</si>
  <si>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</si>
  <si>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</si>
  <si>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</si>
  <si>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</si>
  <si>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</si>
  <si>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</si>
  <si>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</si>
  <si>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</si>
  <si>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</si>
  <si>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</si>
  <si>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</si>
  <si>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</si>
  <si>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</si>
  <si>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</si>
  <si>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</si>
  <si>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</si>
  <si>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</si>
  <si>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</si>
  <si>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</si>
  <si>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</si>
  <si>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</si>
  <si>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</si>
  <si>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</si>
  <si>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</si>
  <si>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</si>
  <si>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</si>
  <si>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</si>
  <si>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</si>
  <si>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</si>
  <si>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</si>
  <si>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</si>
  <si>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</si>
  <si>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</si>
  <si>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</si>
  <si>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</si>
  <si>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</si>
  <si>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</si>
  <si>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</si>
  <si>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</si>
  <si>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</si>
  <si>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</si>
  <si>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</si>
  <si>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</si>
  <si>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</si>
  <si>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</si>
  <si>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</si>
  <si>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</si>
  <si>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</si>
  <si>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</si>
  <si>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</si>
  <si>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</si>
  <si>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</si>
  <si>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</si>
  <si>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</si>
  <si>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</si>
  <si>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</si>
  <si>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</si>
  <si>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</si>
  <si>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</si>
  <si>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</si>
  <si>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</si>
  <si>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</si>
  <si>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</si>
  <si>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</si>
  <si>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</si>
  <si>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</si>
  <si>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</si>
  <si>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</si>
  <si>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</si>
  <si>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</si>
  <si>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</si>
  <si>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</si>
  <si>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</si>
  <si>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</si>
  <si>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</si>
  <si>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</si>
  <si>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</si>
  <si>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</si>
  <si>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</si>
  <si>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</si>
  <si>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</si>
  <si>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</si>
  <si>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</si>
  <si>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</si>
  <si>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</si>
  <si>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</si>
  <si>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</si>
  <si>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</si>
  <si>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</si>
  <si>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</si>
  <si>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</si>
  <si>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</si>
  <si>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</si>
  <si>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</si>
  <si>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</si>
  <si>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</si>
  <si>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</si>
  <si>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</si>
  <si>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</si>
  <si>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</si>
  <si>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</si>
  <si>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</si>
  <si>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</si>
  <si>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</si>
  <si>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</si>
  <si>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</si>
  <si>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</si>
  <si>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</si>
  <si>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</si>
  <si>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</si>
  <si>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</si>
  <si>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</si>
  <si>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</si>
  <si>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</si>
  <si>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</si>
  <si>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</si>
  <si>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</si>
  <si>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</si>
  <si>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</si>
  <si>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</si>
  <si>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</si>
  <si>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</si>
  <si>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</si>
  <si>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</si>
  <si>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</si>
  <si>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</si>
  <si>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</si>
  <si>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</si>
  <si>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</si>
  <si>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</si>
  <si>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</si>
  <si>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</si>
  <si>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</si>
  <si>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</si>
  <si>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</si>
  <si>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</si>
  <si>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</si>
  <si>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</si>
  <si>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</si>
  <si>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</si>
  <si>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</si>
  <si>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</si>
  <si>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</si>
  <si>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</si>
  <si>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</si>
  <si>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</si>
  <si>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</si>
  <si>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</si>
  <si>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</si>
  <si>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</si>
  <si>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</si>
  <si>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</si>
  <si>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</si>
  <si>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</si>
  <si>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</si>
  <si>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</si>
  <si>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</si>
  <si>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</si>
  <si>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</si>
  <si>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</si>
  <si>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</si>
  <si>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</si>
  <si>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</si>
  <si>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</si>
  <si>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</si>
  <si>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</si>
  <si>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</si>
  <si>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</si>
  <si>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</si>
  <si>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</si>
  <si>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</si>
  <si>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</si>
  <si>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</si>
  <si>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</si>
  <si>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</si>
  <si>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</si>
  <si>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</si>
  <si>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</si>
  <si>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</si>
  <si>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</si>
  <si>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</si>
  <si>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</si>
  <si>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</si>
  <si>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</si>
  <si>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</si>
  <si>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</si>
  <si>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</si>
  <si>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</si>
  <si>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</si>
  <si>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</si>
  <si>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</si>
  <si>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</si>
  <si>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</si>
  <si>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</si>
  <si>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</si>
  <si>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</si>
  <si>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</si>
  <si>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</si>
  <si>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</si>
  <si>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</si>
  <si>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</si>
  <si>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</si>
  <si>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</si>
  <si>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</si>
  <si>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</si>
  <si>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</si>
  <si>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</si>
  <si>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</si>
  <si>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</si>
  <si>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</si>
  <si>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</si>
  <si>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</si>
  <si>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</si>
  <si>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</si>
  <si>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</si>
  <si>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</si>
  <si>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</si>
  <si>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</si>
  <si>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</si>
  <si>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</si>
  <si>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</si>
  <si>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</si>
  <si>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</si>
  <si>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</si>
  <si>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</si>
  <si>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</si>
  <si>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</si>
  <si>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</si>
  <si>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</si>
  <si>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</si>
  <si>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</si>
  <si>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</si>
  <si>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</si>
  <si>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</si>
  <si>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</si>
  <si>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</si>
  <si>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</si>
  <si>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</si>
  <si>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</si>
  <si>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</si>
  <si>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</si>
  <si>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</si>
  <si>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</si>
  <si>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</si>
  <si>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</si>
  <si>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</si>
  <si>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</si>
  <si>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</si>
  <si>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</si>
  <si>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</si>
  <si>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</si>
  <si>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</si>
  <si>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</si>
  <si>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</si>
  <si>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</si>
  <si>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</si>
  <si>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</si>
  <si>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</si>
  <si>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</si>
  <si>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</si>
  <si>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</si>
  <si>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</si>
  <si>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</si>
  <si>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</si>
  <si>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</si>
  <si>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</si>
  <si>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</si>
  <si>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</si>
  <si>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</si>
  <si>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</si>
  <si>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</si>
  <si>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</si>
  <si>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</si>
  <si>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</si>
  <si>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</si>
  <si>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</si>
  <si>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</si>
  <si>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</si>
  <si>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</si>
  <si>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</si>
  <si>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</si>
  <si>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</si>
  <si>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</si>
  <si>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</si>
  <si>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</si>
  <si>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</si>
  <si>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</si>
  <si>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</si>
  <si>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</si>
  <si>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</si>
  <si>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</si>
  <si>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</si>
  <si>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</si>
  <si>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</si>
  <si>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</si>
  <si>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</si>
  <si>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</si>
  <si>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</si>
  <si>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</si>
  <si>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</si>
  <si>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</si>
  <si>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</si>
  <si>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</si>
  <si>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</si>
  <si>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</si>
  <si>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</si>
  <si>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</si>
  <si>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</si>
  <si>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</si>
  <si>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</si>
  <si>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</si>
  <si>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</si>
  <si>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</si>
  <si>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</si>
  <si>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</si>
  <si>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</si>
  <si>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</si>
  <si>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</si>
  <si>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</si>
  <si>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</si>
  <si>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</si>
  <si>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</si>
  <si>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</si>
  <si>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</si>
  <si>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</si>
  <si>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</si>
  <si>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</si>
  <si>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</si>
  <si>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</si>
  <si>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</si>
  <si>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</si>
  <si>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</si>
  <si>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</si>
  <si>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</si>
  <si>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</si>
  <si>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</si>
  <si>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</si>
  <si>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</si>
  <si>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</si>
  <si>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</si>
  <si>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</si>
  <si>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</si>
  <si>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</si>
  <si>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</si>
  <si>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</si>
  <si>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</si>
  <si>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</si>
  <si>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</si>
  <si>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</si>
  <si>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</si>
  <si>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</si>
  <si>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</si>
  <si>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</si>
  <si>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</si>
  <si>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</si>
  <si>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</si>
  <si>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</si>
  <si>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</si>
  <si>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</si>
  <si>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</si>
  <si>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</si>
  <si>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</si>
  <si>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</si>
  <si>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</si>
  <si>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</si>
  <si>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</si>
  <si>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</si>
  <si>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</si>
  <si>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</si>
  <si>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</si>
  <si>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</si>
  <si>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</si>
  <si>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</si>
  <si>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</si>
  <si>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</si>
  <si>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</si>
  <si>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</si>
  <si>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</si>
  <si>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</si>
  <si>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</si>
  <si>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</si>
  <si>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</si>
  <si>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</si>
  <si>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</si>
  <si>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</si>
  <si>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</si>
  <si>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</si>
  <si>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</si>
  <si>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</si>
  <si>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</si>
  <si>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</si>
  <si>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</si>
  <si>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</si>
  <si>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</si>
  <si>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</si>
  <si>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</si>
  <si>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</si>
  <si>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</si>
  <si>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</si>
  <si>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</si>
  <si>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</si>
  <si>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</si>
  <si>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</si>
  <si>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</si>
  <si>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</si>
  <si>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</si>
  <si>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</si>
  <si>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</si>
  <si>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</si>
  <si>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</si>
  <si>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</si>
  <si>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</si>
  <si>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</si>
  <si>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</si>
  <si>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</si>
  <si>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</si>
  <si>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</si>
  <si>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</si>
  <si>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</si>
  <si>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</si>
  <si>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</si>
  <si>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</si>
  <si>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</si>
  <si>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</si>
  <si>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</si>
  <si>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</si>
  <si>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</si>
  <si>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</si>
  <si>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</si>
  <si>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</si>
  <si>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</si>
  <si>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</si>
  <si>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</si>
  <si>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</si>
  <si>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</si>
  <si>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</si>
  <si>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</si>
  <si>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</si>
  <si>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</si>
  <si>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</si>
  <si>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</si>
  <si>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</si>
  <si>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</si>
  <si>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</si>
  <si>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</si>
  <si>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</si>
  <si>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</si>
  <si>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</si>
  <si>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</si>
  <si>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</si>
  <si>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</si>
  <si>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</si>
  <si>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</si>
  <si>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</si>
  <si>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</si>
  <si>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</si>
  <si>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</si>
  <si>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</si>
  <si>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</si>
  <si>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</si>
  <si>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</si>
  <si>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</si>
  <si>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</si>
  <si>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</si>
  <si>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</si>
  <si>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</si>
  <si>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</si>
  <si>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</si>
  <si>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</si>
  <si>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</si>
  <si>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</si>
  <si>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</si>
  <si>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</si>
  <si>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</si>
  <si>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</si>
  <si>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</si>
  <si>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</si>
  <si>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</si>
  <si>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</si>
  <si>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</si>
  <si>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</si>
  <si>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</si>
  <si>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</si>
  <si>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</si>
  <si>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</si>
  <si>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</si>
  <si>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</si>
  <si>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</si>
  <si>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</si>
  <si>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</si>
  <si>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</si>
  <si>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</si>
  <si>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</si>
  <si>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</si>
  <si>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</si>
  <si>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</si>
  <si>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</si>
  <si>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</si>
  <si>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</si>
  <si>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</si>
  <si>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</si>
  <si>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</si>
  <si>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</si>
  <si>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</si>
  <si>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</si>
  <si>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</si>
  <si>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</si>
  <si>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</si>
  <si>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</si>
  <si>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</si>
  <si>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</si>
  <si>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</si>
  <si>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</si>
  <si>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</si>
  <si>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</si>
  <si>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</si>
  <si>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</si>
  <si>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</si>
  <si>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</si>
  <si>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</si>
  <si>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</si>
  <si>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</si>
  <si>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</si>
  <si>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</si>
  <si>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</si>
  <si>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</si>
  <si>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</si>
  <si>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</si>
  <si>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</si>
  <si>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</si>
  <si>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</si>
  <si>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</si>
  <si>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</si>
  <si>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</si>
  <si>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</si>
  <si>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</si>
  <si>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</si>
  <si>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</si>
  <si>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</si>
  <si>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</si>
  <si>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</si>
  <si>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</si>
  <si>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</si>
  <si>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</si>
  <si>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</si>
  <si>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</si>
  <si>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</si>
  <si>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</si>
  <si>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</si>
  <si>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</si>
  <si>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</si>
  <si>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</si>
  <si>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</si>
  <si>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</si>
  <si>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</si>
  <si>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</si>
  <si>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</si>
  <si>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</si>
  <si>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</si>
  <si>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</si>
  <si>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</si>
  <si>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</si>
  <si>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</si>
  <si>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</si>
  <si>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</si>
  <si>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</si>
  <si>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</si>
  <si>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</si>
  <si>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</si>
  <si>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</si>
  <si>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</si>
  <si>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</si>
  <si>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</si>
  <si>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</si>
  <si>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</si>
  <si>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</si>
  <si>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</si>
  <si>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</si>
  <si>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</si>
  <si>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</si>
  <si>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</si>
  <si>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</si>
  <si>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</si>
  <si>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</si>
  <si>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</si>
  <si>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</si>
  <si>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</si>
  <si>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</si>
  <si>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</si>
  <si>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</si>
  <si>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</si>
  <si>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</si>
  <si>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</si>
  <si>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</si>
  <si>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</si>
  <si>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</si>
  <si>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</si>
  <si>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</si>
  <si>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</si>
  <si>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</si>
  <si>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</si>
  <si>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</si>
  <si>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</si>
  <si>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</si>
  <si>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</si>
  <si>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</si>
  <si>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</si>
  <si>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</si>
  <si>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</si>
  <si>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</si>
  <si>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</si>
  <si>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</si>
  <si>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</si>
  <si>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</si>
  <si>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</si>
  <si>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</si>
  <si>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</si>
  <si>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</si>
  <si>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</si>
  <si>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</si>
  <si>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</si>
  <si>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</si>
  <si>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</si>
  <si>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</si>
  <si>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</si>
  <si>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</si>
  <si>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</si>
  <si>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</si>
  <si>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</si>
  <si>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</si>
  <si>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</si>
  <si>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</si>
  <si>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</si>
  <si>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</si>
  <si>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</si>
  <si>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</si>
  <si>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</si>
  <si>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</si>
  <si>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</si>
  <si>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</si>
  <si>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</si>
  <si>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</si>
  <si>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</si>
  <si>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</si>
  <si>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</si>
  <si>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</si>
  <si>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</si>
  <si>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</si>
  <si>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</si>
  <si>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</si>
  <si>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</si>
  <si>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</si>
  <si>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</si>
  <si>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</si>
  <si>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</si>
  <si>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</si>
  <si>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</si>
  <si>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</si>
  <si>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</si>
  <si>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</si>
  <si>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</si>
  <si>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</si>
  <si>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</si>
  <si>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</si>
  <si>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</si>
  <si>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</si>
  <si>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</si>
  <si>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</si>
  <si>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</si>
  <si>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</si>
  <si>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</si>
  <si>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</si>
  <si>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</si>
  <si>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</si>
  <si>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</si>
  <si>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</si>
  <si>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</si>
  <si>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</si>
  <si>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</si>
  <si>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</si>
  <si>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</si>
  <si>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</si>
  <si>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</si>
  <si>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</si>
  <si>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</si>
  <si>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</si>
  <si>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</si>
  <si>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</si>
  <si>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</si>
  <si>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</si>
  <si>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</si>
  <si>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</si>
  <si>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</si>
  <si>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</si>
  <si>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</si>
  <si>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</si>
  <si>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</si>
  <si>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</si>
  <si>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</si>
  <si>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</si>
  <si>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</si>
  <si>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</si>
  <si>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</si>
  <si>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</si>
  <si>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</si>
  <si>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</si>
  <si>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</si>
  <si>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</si>
  <si>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</si>
  <si>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</si>
  <si>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</si>
  <si>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</si>
  <si>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</si>
  <si>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</si>
  <si>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</si>
  <si>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</si>
  <si>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</si>
  <si>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</si>
  <si>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</si>
  <si>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</si>
  <si>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</si>
  <si>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</si>
  <si>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</si>
  <si>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</si>
  <si>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</si>
  <si>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</si>
  <si>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</si>
  <si>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</si>
  <si>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</si>
  <si>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</si>
  <si>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</si>
  <si>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</si>
  <si>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</si>
  <si>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</si>
  <si>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</si>
  <si>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</si>
  <si>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</si>
  <si>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</si>
  <si>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</si>
  <si>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</si>
  <si>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</si>
  <si>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</si>
  <si>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</si>
  <si>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</si>
  <si>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</si>
  <si>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</si>
  <si>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</si>
  <si>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</si>
  <si>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</si>
  <si>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</si>
  <si>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</si>
  <si>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</si>
  <si>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</si>
  <si>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</si>
  <si>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</si>
  <si>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</si>
  <si>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</si>
  <si>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</si>
  <si>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</si>
  <si>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</si>
  <si>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</si>
  <si>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</si>
  <si>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</si>
  <si>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</si>
  <si>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</si>
  <si>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</si>
  <si>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</si>
  <si>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</si>
  <si>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</si>
  <si>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</si>
  <si>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</si>
  <si>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</si>
  <si>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</si>
  <si>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</si>
  <si>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</si>
  <si>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</si>
  <si>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</si>
  <si>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</si>
  <si>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</si>
  <si>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</si>
  <si>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</si>
  <si>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</si>
  <si>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</si>
  <si>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</si>
  <si>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</si>
  <si>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</si>
  <si>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</si>
  <si>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</si>
  <si>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</si>
  <si>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</si>
  <si>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</si>
  <si>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</si>
  <si>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</si>
  <si>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</si>
  <si>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</si>
  <si>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</si>
  <si>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</si>
  <si>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</si>
  <si>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</si>
  <si>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</si>
  <si>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</si>
  <si>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</si>
  <si>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</si>
  <si>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</si>
  <si>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</si>
  <si>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</si>
  <si>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</si>
  <si>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</si>
  <si>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</si>
  <si>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</si>
  <si>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</si>
  <si>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</si>
  <si>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</si>
  <si>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</si>
  <si>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</si>
  <si>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</si>
  <si>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</si>
  <si>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</si>
  <si>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</si>
  <si>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</si>
  <si>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</si>
  <si>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</si>
  <si>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</si>
  <si>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</si>
  <si>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</si>
  <si>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</si>
  <si>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</si>
  <si>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</si>
  <si>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</si>
  <si>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</si>
  <si>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</si>
  <si>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</si>
  <si>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</si>
  <si>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</si>
  <si>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</si>
  <si>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</si>
  <si>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</si>
  <si>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</si>
  <si>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</si>
  <si>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</si>
  <si>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</si>
  <si>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</si>
  <si>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</si>
  <si>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</si>
  <si>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</si>
  <si>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</si>
  <si>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</si>
  <si>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</si>
  <si>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</si>
  <si>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</si>
  <si>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</si>
  <si>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</si>
  <si>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</si>
  <si>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</si>
  <si>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</si>
  <si>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</si>
  <si>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</si>
  <si>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</si>
  <si>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</si>
  <si>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</si>
  <si>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</si>
  <si>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</si>
  <si>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</si>
  <si>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</si>
  <si>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</si>
  <si>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</si>
  <si>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</si>
  <si>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</si>
  <si>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</si>
  <si>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</si>
  <si>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</si>
  <si>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</si>
  <si>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</si>
  <si>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</si>
  <si>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</si>
  <si>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</si>
  <si>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</si>
  <si>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</si>
  <si>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</si>
  <si>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</si>
  <si>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</si>
  <si>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</si>
  <si>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</si>
  <si>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</si>
  <si>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</si>
  <si>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</si>
  <si>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</si>
  <si>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</si>
  <si>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</si>
  <si>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</si>
  <si>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</si>
  <si>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</si>
  <si>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</si>
  <si>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</si>
  <si>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</si>
  <si>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</si>
  <si>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</si>
  <si>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</si>
  <si>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</si>
  <si>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</si>
  <si>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</si>
  <si>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</si>
  <si>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</si>
  <si>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</si>
  <si>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</si>
  <si>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</si>
  <si>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</si>
  <si>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</si>
  <si>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</si>
  <si>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</si>
  <si>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</si>
  <si>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</si>
  <si>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</si>
  <si>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</si>
  <si>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</si>
  <si>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</si>
  <si>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</si>
  <si>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</si>
  <si>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</si>
  <si>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</si>
  <si>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</si>
  <si>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</si>
  <si>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</si>
  <si>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</si>
  <si>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</si>
  <si>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</si>
  <si>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</si>
  <si>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</si>
  <si>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</si>
  <si>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</si>
  <si>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</si>
  <si>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</si>
  <si>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</si>
  <si>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</si>
  <si>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</si>
  <si>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</si>
  <si>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</si>
  <si>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</si>
  <si>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</si>
  <si>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</si>
  <si>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</si>
  <si>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</si>
  <si>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</si>
  <si>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</si>
  <si>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</si>
  <si>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</si>
  <si>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</si>
  <si>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</si>
  <si>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</si>
  <si>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</si>
  <si>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</si>
  <si>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</si>
  <si>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</si>
  <si>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</si>
  <si>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</si>
  <si>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</si>
  <si>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</si>
  <si>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</si>
  <si>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</si>
  <si>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</si>
  <si>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</si>
  <si>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</si>
  <si>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</si>
  <si>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</si>
  <si>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</si>
  <si>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</si>
  <si>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</si>
  <si>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</si>
  <si>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</si>
  <si>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</si>
  <si>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</si>
  <si>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</si>
  <si>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</si>
  <si>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</si>
  <si>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</si>
  <si>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</si>
  <si>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</si>
  <si>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</si>
  <si>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</si>
  <si>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</si>
  <si>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</si>
  <si>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</si>
  <si>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</si>
  <si>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</si>
  <si>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</si>
  <si>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</si>
  <si>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</si>
  <si>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</si>
  <si>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</si>
  <si>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</si>
  <si>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</si>
  <si>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</si>
  <si>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</si>
  <si>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</si>
  <si>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</si>
  <si>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</si>
  <si>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</si>
  <si>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</si>
  <si>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</si>
  <si>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</si>
  <si>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</si>
  <si>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</si>
  <si>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</si>
  <si>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</si>
  <si>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</si>
  <si>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</si>
  <si>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</si>
  <si>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</si>
  <si>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</si>
  <si>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</si>
  <si>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</si>
  <si>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</si>
  <si>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</si>
  <si>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</si>
  <si>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</si>
  <si>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</si>
  <si>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</si>
  <si>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</si>
  <si>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</si>
  <si>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</si>
  <si>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</si>
  <si>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</si>
  <si>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</si>
  <si>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</si>
  <si>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</si>
  <si>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</si>
  <si>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</si>
  <si>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</si>
  <si>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</si>
  <si>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</si>
  <si>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</si>
  <si>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</si>
  <si>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</si>
  <si>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</si>
  <si>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</si>
  <si>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</si>
  <si>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</si>
  <si>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</si>
  <si>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</si>
  <si>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</si>
  <si>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</si>
  <si>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</si>
  <si>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</si>
  <si>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</si>
  <si>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</si>
  <si>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</si>
  <si>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</si>
  <si>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</si>
  <si>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</si>
  <si>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</si>
  <si>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</si>
  <si>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</si>
  <si>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</si>
  <si>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</si>
  <si>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</si>
  <si>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</si>
  <si>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</si>
  <si>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</si>
  <si>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</si>
  <si>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</si>
  <si>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</si>
  <si>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</si>
  <si>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</si>
  <si>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</si>
  <si>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</si>
  <si>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</si>
  <si>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</si>
  <si>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</si>
  <si>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</si>
  <si>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</si>
  <si>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</si>
  <si>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</si>
  <si>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</si>
  <si>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</si>
  <si>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</si>
  <si>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</si>
  <si>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</si>
  <si>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</si>
  <si>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</si>
  <si>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</si>
  <si>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</si>
  <si>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</si>
  <si>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</si>
  <si>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</si>
  <si>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</si>
  <si>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</si>
  <si>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</si>
  <si>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</si>
  <si>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</si>
  <si>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</si>
  <si>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</si>
  <si>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</si>
  <si>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</si>
  <si>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</si>
  <si>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</si>
  <si>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</si>
  <si>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</si>
  <si>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</si>
  <si>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</si>
  <si>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</si>
  <si>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</si>
  <si>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</si>
  <si>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</si>
  <si>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</si>
  <si>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</si>
  <si>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</si>
  <si>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</si>
  <si>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</si>
  <si>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</si>
  <si>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</si>
  <si>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</si>
  <si>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</si>
  <si>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</si>
  <si>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</si>
  <si>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</si>
  <si>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</si>
  <si>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</si>
  <si>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</si>
  <si>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</si>
  <si>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</si>
  <si>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</si>
  <si>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</si>
  <si>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</si>
  <si>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</si>
  <si>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</si>
  <si>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</si>
  <si>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</si>
  <si>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</si>
  <si>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</si>
  <si>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</si>
  <si>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</si>
  <si>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</si>
  <si>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</si>
  <si>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</si>
  <si>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</si>
  <si>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</si>
  <si>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</si>
  <si>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</si>
  <si>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</si>
  <si>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</si>
  <si>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</si>
  <si>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</si>
  <si>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</si>
  <si>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</si>
  <si>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</si>
  <si>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</si>
  <si>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</si>
  <si>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</si>
  <si>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</si>
  <si>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</si>
  <si>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</si>
  <si>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</si>
  <si>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</si>
  <si>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</si>
  <si>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</si>
  <si>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</si>
  <si>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</si>
  <si>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</si>
  <si>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</si>
  <si>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</si>
  <si>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</si>
  <si>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</si>
  <si>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</si>
  <si>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</si>
  <si>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</si>
  <si>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</si>
  <si>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</si>
  <si>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</si>
  <si>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</si>
  <si>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</si>
  <si>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</si>
  <si>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</si>
  <si>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</si>
  <si>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</si>
  <si>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</si>
  <si>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</si>
  <si>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</si>
  <si>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</si>
  <si>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</si>
  <si>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</si>
  <si>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</si>
  <si>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</si>
  <si>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</si>
  <si>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</si>
  <si>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</si>
  <si>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</si>
  <si>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</si>
  <si>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</si>
  <si>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</si>
  <si>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</si>
  <si>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</si>
  <si>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</si>
  <si>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</si>
  <si>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</si>
  <si>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</si>
  <si>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</si>
  <si>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</si>
  <si>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</si>
  <si>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</si>
  <si>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</si>
  <si>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</si>
  <si>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</si>
  <si>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</si>
  <si>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</si>
  <si>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</si>
  <si>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</si>
  <si>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</si>
  <si>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</si>
  <si>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</si>
  <si>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</si>
  <si>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</si>
  <si>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</si>
  <si>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</si>
  <si>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</si>
  <si>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</si>
  <si>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</si>
  <si>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</si>
  <si>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</si>
  <si>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</si>
  <si>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</si>
  <si>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</si>
  <si>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</si>
  <si>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</si>
  <si>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</si>
  <si>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</si>
  <si>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</si>
  <si>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</si>
  <si>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</si>
  <si>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</si>
  <si>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</si>
  <si>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</si>
  <si>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</si>
  <si>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</si>
  <si>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</si>
  <si>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</si>
  <si>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</si>
  <si>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</si>
  <si>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</si>
  <si>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</si>
  <si>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</si>
  <si>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</si>
  <si>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</si>
  <si>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</si>
  <si>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</si>
  <si>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</si>
  <si>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</si>
  <si>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</si>
  <si>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</si>
  <si>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</si>
  <si>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</si>
  <si>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</si>
  <si>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</si>
  <si>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</si>
  <si>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</si>
  <si>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</si>
  <si>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</si>
  <si>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</si>
  <si>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</si>
  <si>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</si>
  <si>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</si>
  <si>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</si>
  <si>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</si>
  <si>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</si>
  <si>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</si>
  <si>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</si>
  <si>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</si>
  <si>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</si>
  <si>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</si>
  <si>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</si>
  <si>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</si>
  <si>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</si>
  <si>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</si>
  <si>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</si>
  <si>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</si>
  <si>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</si>
  <si>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</si>
  <si>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</si>
  <si>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</si>
  <si>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</si>
  <si>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</si>
  <si>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</si>
  <si>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</si>
  <si>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</si>
  <si>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</si>
  <si>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</si>
  <si>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</si>
  <si>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</si>
  <si>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</si>
  <si>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</si>
  <si>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</si>
  <si>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</si>
  <si>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</si>
  <si>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</si>
  <si>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</si>
  <si>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</si>
  <si>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</si>
  <si>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</si>
  <si>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</si>
  <si>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</si>
  <si>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</si>
  <si>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</si>
  <si>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</si>
  <si>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</si>
  <si>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</si>
  <si>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</si>
  <si>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</si>
  <si>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</si>
  <si>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</si>
  <si>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</si>
  <si>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</si>
  <si>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</si>
  <si>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</si>
  <si>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</si>
  <si>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</si>
  <si>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</si>
  <si>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</si>
  <si>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</si>
  <si>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</si>
  <si>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</si>
  <si>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</si>
  <si>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</si>
  <si>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</si>
  <si>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</si>
  <si>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</si>
  <si>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</si>
  <si>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</si>
  <si>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</si>
  <si>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</si>
  <si>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</si>
  <si>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</si>
  <si>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</si>
  <si>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</si>
  <si>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</si>
  <si>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</si>
  <si>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</si>
  <si>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</si>
  <si>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</si>
  <si>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</si>
  <si>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</si>
  <si>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</si>
  <si>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</si>
  <si>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</si>
  <si>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</si>
  <si>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</si>
  <si>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</si>
  <si>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</si>
  <si>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</si>
  <si>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</si>
  <si>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</si>
  <si>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</si>
  <si>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</si>
  <si>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</si>
  <si>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</si>
  <si>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</si>
  <si>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</si>
  <si>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</si>
  <si>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</si>
  <si>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</si>
  <si>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</si>
  <si>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</si>
  <si>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</si>
  <si>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</si>
  <si>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</si>
  <si>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</si>
  <si>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</si>
  <si>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</si>
  <si>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</si>
  <si>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</si>
  <si>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</si>
  <si>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</si>
  <si>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</si>
  <si>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</si>
  <si>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</si>
  <si>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</si>
  <si>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</si>
  <si>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</si>
  <si>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</si>
  <si>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</si>
  <si>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</si>
  <si>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</si>
  <si>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</si>
  <si>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</si>
  <si>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</si>
  <si>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</si>
  <si>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</si>
  <si>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</si>
  <si>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</si>
  <si>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</si>
  <si>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</si>
  <si>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</si>
  <si>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</si>
  <si>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</si>
  <si>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</si>
  <si>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</si>
  <si>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</si>
  <si>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</si>
  <si>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</si>
  <si>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</si>
  <si>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</si>
  <si>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</si>
  <si>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</si>
  <si>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</si>
  <si>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</si>
  <si>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</si>
  <si>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</si>
  <si>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</si>
  <si>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</si>
  <si>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</si>
  <si>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</si>
  <si>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</si>
  <si>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</si>
  <si>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</si>
  <si>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</si>
  <si>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</si>
  <si>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</si>
  <si>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</si>
  <si>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</si>
  <si>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</si>
  <si>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</si>
  <si>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</si>
  <si>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</si>
  <si>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</si>
  <si>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</si>
  <si>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</si>
  <si>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</si>
  <si>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</si>
  <si>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</si>
  <si>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</si>
  <si>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</si>
  <si>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</si>
  <si>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</si>
  <si>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</si>
  <si>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</si>
  <si>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</si>
  <si>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</si>
  <si>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</si>
  <si>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</si>
  <si>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</si>
  <si>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</si>
  <si>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</si>
  <si>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</si>
  <si>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</si>
  <si>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</si>
  <si>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</si>
  <si>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</si>
  <si>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</si>
  <si>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</si>
  <si>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</si>
  <si>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</si>
  <si>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</si>
  <si>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</si>
  <si>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</si>
  <si>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</si>
  <si>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</si>
  <si>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</si>
  <si>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</si>
  <si>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</si>
  <si>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</si>
  <si>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</si>
  <si>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</si>
  <si>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</si>
  <si>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</si>
  <si>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</si>
  <si>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</si>
  <si>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</si>
  <si>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</si>
  <si>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</si>
  <si>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</si>
  <si>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</si>
  <si>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</si>
  <si>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</si>
  <si>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</si>
  <si>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</si>
  <si>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</si>
  <si>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</si>
  <si>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</si>
  <si>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</si>
  <si>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</si>
  <si>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</si>
  <si>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</si>
  <si>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</si>
  <si>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</si>
  <si>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</si>
  <si>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</si>
  <si>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</si>
  <si>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</si>
  <si>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</si>
  <si>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</si>
  <si>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</si>
  <si>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</si>
  <si>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</si>
  <si>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</si>
  <si>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</si>
  <si>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</si>
  <si>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</si>
  <si>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</si>
  <si>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</si>
  <si>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</si>
  <si>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</si>
  <si>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</si>
  <si>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</si>
  <si>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</si>
  <si>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</si>
  <si>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</si>
  <si>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</si>
  <si>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</si>
  <si>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</si>
  <si>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</si>
  <si>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</si>
  <si>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</si>
  <si>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</si>
  <si>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</si>
  <si>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</si>
  <si>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</si>
  <si>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</si>
  <si>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</si>
  <si>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</si>
  <si>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</si>
  <si>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</si>
  <si>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</si>
  <si>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</si>
  <si>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</si>
  <si>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</si>
  <si>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</si>
  <si>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</si>
  <si>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</si>
  <si>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</si>
  <si>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</si>
  <si>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</si>
  <si>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</si>
  <si>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</si>
  <si>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</si>
  <si>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</si>
  <si>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</si>
  <si>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</si>
  <si>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</si>
  <si>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</si>
  <si>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</si>
  <si>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</si>
  <si>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</si>
  <si>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</si>
  <si>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</si>
  <si>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</si>
  <si>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</si>
  <si>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</si>
  <si>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</si>
  <si>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</si>
  <si>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</si>
  <si>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</si>
  <si>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</si>
  <si>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</si>
  <si>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</si>
  <si>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</si>
  <si>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</si>
  <si>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</si>
  <si>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</si>
  <si>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</si>
  <si>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</si>
  <si>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</si>
  <si>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</si>
  <si>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</si>
  <si>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</si>
  <si>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</si>
  <si>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</si>
  <si>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</si>
  <si>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</si>
  <si>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</si>
  <si>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</si>
  <si>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</si>
  <si>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</si>
  <si>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</si>
  <si>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</si>
  <si>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</si>
  <si>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</si>
  <si>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</si>
  <si>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</si>
  <si>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</si>
  <si>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</si>
  <si>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</si>
  <si>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</si>
  <si>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</si>
  <si>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</si>
  <si>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</si>
  <si>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</si>
  <si>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</si>
  <si>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</si>
  <si>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</si>
  <si>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</si>
  <si>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</si>
  <si>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</si>
  <si>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</si>
  <si>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</si>
  <si>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</si>
  <si>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</si>
  <si>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</si>
  <si>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</si>
  <si>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</si>
  <si>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</si>
  <si>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</si>
  <si>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</si>
  <si>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</si>
  <si>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</si>
  <si>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</si>
  <si>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</si>
  <si>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</si>
  <si>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</si>
  <si>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</si>
  <si>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</si>
  <si>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</si>
  <si>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</si>
  <si>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</si>
  <si>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</si>
  <si>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</si>
  <si>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</si>
  <si>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</si>
  <si>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</si>
  <si>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</si>
  <si>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</si>
  <si>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</si>
  <si>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</si>
  <si>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</si>
  <si>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</si>
  <si>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</si>
  <si>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</si>
  <si>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</si>
  <si>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</si>
  <si>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</si>
  <si>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</si>
  <si>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</si>
  <si>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</si>
  <si>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</si>
  <si>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</si>
  <si>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</si>
  <si>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</si>
  <si>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</si>
  <si>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</si>
  <si>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</si>
  <si>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</si>
  <si>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</si>
  <si>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</si>
  <si>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</si>
  <si>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</si>
  <si>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</si>
  <si>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</si>
  <si>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</si>
  <si>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</si>
  <si>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</si>
  <si>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</si>
  <si>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</si>
  <si>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</si>
  <si>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</si>
  <si>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</si>
  <si>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</si>
  <si>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</si>
  <si>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</si>
  <si>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</si>
  <si>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</si>
  <si>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</si>
  <si>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</si>
  <si>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</si>
  <si>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</si>
  <si>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</si>
  <si>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</si>
  <si>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</si>
  <si>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</si>
  <si>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</si>
  <si>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</si>
  <si>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</si>
  <si>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</si>
  <si>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</si>
  <si>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</si>
  <si>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</si>
  <si>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</si>
  <si>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</si>
  <si>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</si>
  <si>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</si>
  <si>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</si>
  <si>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</si>
  <si>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</si>
  <si>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</si>
  <si>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</si>
  <si>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</si>
  <si>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</si>
  <si>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</si>
  <si>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</si>
  <si>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</si>
  <si>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</si>
  <si>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</si>
  <si>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</si>
  <si>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</si>
  <si>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</si>
  <si>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</si>
  <si>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</si>
  <si>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</si>
  <si>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</si>
  <si>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</si>
  <si>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</si>
  <si>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</si>
  <si>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</si>
  <si>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</si>
  <si>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</si>
  <si>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</si>
  <si>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</si>
  <si>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</si>
  <si>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</si>
  <si>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</si>
  <si>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</si>
  <si>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</si>
  <si>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</si>
  <si>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</si>
  <si>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</si>
  <si>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</si>
  <si>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</si>
  <si>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</si>
  <si>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</si>
  <si>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</si>
  <si>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</si>
  <si>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</si>
  <si>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</si>
  <si>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</si>
  <si>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</si>
  <si>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</si>
  <si>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</si>
  <si>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</si>
  <si>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</si>
  <si>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</si>
  <si>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</si>
  <si>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</si>
  <si>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</si>
  <si>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</si>
  <si>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</si>
  <si>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</si>
  <si>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</si>
  <si>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</si>
  <si>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</si>
  <si>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</si>
  <si>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</si>
  <si>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</si>
  <si>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</si>
  <si>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</si>
  <si>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</si>
  <si>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</si>
  <si>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</si>
  <si>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</si>
  <si>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</si>
  <si>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</si>
  <si>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</si>
  <si>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</si>
  <si>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</si>
  <si>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</si>
  <si>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</si>
  <si>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</si>
  <si>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</si>
  <si>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</si>
  <si>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</si>
  <si>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</si>
  <si>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</si>
  <si>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</si>
  <si>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</si>
  <si>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</si>
  <si>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</si>
  <si>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</si>
  <si>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</si>
  <si>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</si>
  <si>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</si>
  <si>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</si>
  <si>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</si>
  <si>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</si>
  <si>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</si>
  <si>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</si>
  <si>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</si>
  <si>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</si>
  <si>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</si>
  <si>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</si>
  <si>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</si>
  <si>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</si>
  <si>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</si>
  <si>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</si>
  <si>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</si>
  <si>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</si>
  <si>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</si>
  <si>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</si>
  <si>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</si>
  <si>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</si>
  <si>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</si>
  <si>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</si>
  <si>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</si>
  <si>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</si>
  <si>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</si>
  <si>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</si>
  <si>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</si>
  <si>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</si>
  <si>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</si>
  <si>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</si>
  <si>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</si>
  <si>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</si>
  <si>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</si>
  <si>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</si>
  <si>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</si>
  <si>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</si>
  <si>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</si>
  <si>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</si>
  <si>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</si>
  <si>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</si>
  <si>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</si>
  <si>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</si>
  <si>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</si>
  <si>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</si>
  <si>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</si>
  <si>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</si>
  <si>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</si>
  <si>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</si>
  <si>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</si>
  <si>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</si>
  <si>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</si>
  <si>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</si>
  <si>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</si>
  <si>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</si>
  <si>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</si>
  <si>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</si>
  <si>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</si>
  <si>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</si>
  <si>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</si>
  <si>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</si>
  <si>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</si>
  <si>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</si>
  <si>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</si>
  <si>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</si>
  <si>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</si>
  <si>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</si>
  <si>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</si>
  <si>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</si>
  <si>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</si>
  <si>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</si>
  <si>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</si>
  <si>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</si>
  <si>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</si>
  <si>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</si>
  <si>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</si>
  <si>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</si>
  <si>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</si>
  <si>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</si>
  <si>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</si>
  <si>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</si>
  <si>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</si>
  <si>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</si>
  <si>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</si>
  <si>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</si>
  <si>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</si>
  <si>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</si>
  <si>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</si>
  <si>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</si>
  <si>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</si>
  <si>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</si>
  <si>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</si>
  <si>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</si>
  <si>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</si>
  <si>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</si>
  <si>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</si>
  <si>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</si>
  <si>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</si>
  <si>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</si>
  <si>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</si>
  <si>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</si>
  <si>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</si>
  <si>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</si>
  <si>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</si>
  <si>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</si>
  <si>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</si>
  <si>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</si>
  <si>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</si>
  <si>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</si>
  <si>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</si>
  <si>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</si>
  <si>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</si>
  <si>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</si>
  <si>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</si>
  <si>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</si>
  <si>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</si>
  <si>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</si>
  <si>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</si>
  <si>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</si>
  <si>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</si>
  <si>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</si>
  <si>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</si>
  <si>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</si>
  <si>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</si>
  <si>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</si>
  <si>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</si>
  <si>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</si>
  <si>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</si>
  <si>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</si>
  <si>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</si>
  <si>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</si>
  <si>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</si>
  <si>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</si>
  <si>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</si>
  <si>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</si>
  <si>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</si>
  <si>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</si>
  <si>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</si>
  <si>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</si>
  <si>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</si>
  <si>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</si>
  <si>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</si>
  <si>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</si>
  <si>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</si>
  <si>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</si>
  <si>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</si>
  <si>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</si>
  <si>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</si>
  <si>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</si>
  <si>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</si>
  <si>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</si>
  <si>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</si>
  <si>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</si>
  <si>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</si>
  <si>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</si>
  <si>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</si>
  <si>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</si>
  <si>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</si>
  <si>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</si>
  <si>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</si>
  <si>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</si>
  <si>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</si>
  <si>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</si>
  <si>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</si>
  <si>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</si>
  <si>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</si>
  <si>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</si>
  <si>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</si>
  <si>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</si>
  <si>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</si>
  <si>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</si>
  <si>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</si>
  <si>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</si>
  <si>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</si>
  <si>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</si>
  <si>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</si>
  <si>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</si>
  <si>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</si>
  <si>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</si>
  <si>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</si>
  <si>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</si>
  <si>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</si>
  <si>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</si>
  <si>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</si>
  <si>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</si>
  <si>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</si>
  <si>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</si>
  <si>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</si>
  <si>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</si>
  <si>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</si>
  <si>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</si>
  <si>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</si>
  <si>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</si>
  <si>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</si>
  <si>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</si>
  <si>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</si>
  <si>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</si>
  <si>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</si>
  <si>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</si>
  <si>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</si>
  <si>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</si>
  <si>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</si>
  <si>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</si>
  <si>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</si>
  <si>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</si>
  <si>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</si>
  <si>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</si>
  <si>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</si>
  <si>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</si>
  <si>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</si>
  <si>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</si>
  <si>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</si>
  <si>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</si>
  <si>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</si>
  <si>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</si>
  <si>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</si>
  <si>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</si>
  <si>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</si>
  <si>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</si>
  <si>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</si>
  <si>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</si>
  <si>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</si>
  <si>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</si>
  <si>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</si>
  <si>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</si>
  <si>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</si>
  <si>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</si>
  <si>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</si>
  <si>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</si>
  <si>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</si>
  <si>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</si>
  <si>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</si>
  <si>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</si>
  <si>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</si>
  <si>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</si>
  <si>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</si>
  <si>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</si>
  <si>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</si>
  <si>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</si>
  <si>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</si>
  <si>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</si>
  <si>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</si>
  <si>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</si>
  <si>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</si>
  <si>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</si>
  <si>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</si>
  <si>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</si>
  <si>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</si>
  <si>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</si>
  <si>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</si>
  <si>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</si>
  <si>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</si>
  <si>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</si>
  <si>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</si>
  <si>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</si>
  <si>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</si>
  <si>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</si>
  <si>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</si>
  <si>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</si>
  <si>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</si>
  <si>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</si>
  <si>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</si>
  <si>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</si>
  <si>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</si>
  <si>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</si>
  <si>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</si>
  <si>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</si>
  <si>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</si>
  <si>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</si>
  <si>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</si>
  <si>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</si>
  <si>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</si>
  <si>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</si>
  <si>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</si>
  <si>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</si>
  <si>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</si>
  <si>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</si>
  <si>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</si>
  <si>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</si>
  <si>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</si>
  <si>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</si>
  <si>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</si>
  <si>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</si>
  <si>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</si>
  <si>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</si>
  <si>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</si>
  <si>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</si>
  <si>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</si>
  <si>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</si>
  <si>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</si>
  <si>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</si>
  <si>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</si>
  <si>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</si>
  <si>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</si>
  <si>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</si>
  <si>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</si>
  <si>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</si>
  <si>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</si>
  <si>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</si>
  <si>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</si>
  <si>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</si>
  <si>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</si>
  <si>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</si>
  <si>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</si>
  <si>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</si>
  <si>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</si>
  <si>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</si>
  <si>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</si>
  <si>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</si>
  <si>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</si>
  <si>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</si>
  <si>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</si>
  <si>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</si>
  <si>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</si>
  <si>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</si>
  <si>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</si>
  <si>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</si>
  <si>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</si>
  <si>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</si>
  <si>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</si>
  <si>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</si>
  <si>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</si>
  <si>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</si>
  <si>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</si>
  <si>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</si>
  <si>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</si>
  <si>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</si>
  <si>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</si>
  <si>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</si>
  <si>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</si>
  <si>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</si>
  <si>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</si>
  <si>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</si>
  <si>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</si>
  <si>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</si>
  <si>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</si>
  <si>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</si>
  <si>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</si>
  <si>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</si>
  <si>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</si>
  <si>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</si>
  <si>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</si>
  <si>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</si>
  <si>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</si>
  <si>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</si>
  <si>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</si>
  <si>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</si>
  <si>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</si>
  <si>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</si>
  <si>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</si>
  <si>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</si>
  <si>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</si>
  <si>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</si>
  <si>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</si>
  <si>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</si>
  <si>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</si>
  <si>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</si>
  <si>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</si>
  <si>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</si>
  <si>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</si>
  <si>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</si>
  <si>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</si>
  <si>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</si>
  <si>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</si>
  <si>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</si>
  <si>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</si>
  <si>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</si>
  <si>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</si>
  <si>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</si>
  <si>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</si>
  <si>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</si>
  <si>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</si>
  <si>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</si>
  <si>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</si>
  <si>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</si>
  <si>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</si>
  <si>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</si>
  <si>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</si>
  <si>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</si>
  <si>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</si>
  <si>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</si>
  <si>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</si>
  <si>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</si>
  <si>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</si>
  <si>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</si>
  <si>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</si>
  <si>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</si>
  <si>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</si>
  <si>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</si>
  <si>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</si>
  <si>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</si>
  <si>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</si>
  <si>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</si>
  <si>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</si>
  <si>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</si>
  <si>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</si>
  <si>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</si>
  <si>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</si>
  <si>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</si>
  <si>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</si>
  <si>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</si>
  <si>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</si>
  <si>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</si>
  <si>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</si>
  <si>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</si>
  <si>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</si>
  <si>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</si>
  <si>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</si>
  <si>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</si>
  <si>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</si>
  <si>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</si>
  <si>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</si>
  <si>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</si>
  <si>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</si>
  <si>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</si>
  <si>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</si>
  <si>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</si>
  <si>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</si>
  <si>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</si>
  <si>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</si>
  <si>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</si>
  <si>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</si>
  <si>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</si>
  <si>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</si>
  <si>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</si>
  <si>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</si>
  <si>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</si>
  <si>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</si>
  <si>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</si>
  <si>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</si>
  <si>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</si>
  <si>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</si>
  <si>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</si>
  <si>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</si>
  <si>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</si>
  <si>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</si>
  <si>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</si>
  <si>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</si>
  <si>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</si>
  <si>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</si>
  <si>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</si>
  <si>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</si>
  <si>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</si>
  <si>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</si>
  <si>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</si>
  <si>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</si>
  <si>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</si>
  <si>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</si>
  <si>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</si>
  <si>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</si>
  <si>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</si>
  <si>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</si>
  <si>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</si>
  <si>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</si>
  <si>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</si>
  <si>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</si>
  <si>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</si>
  <si>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</si>
  <si>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</si>
  <si>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</si>
  <si>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</si>
  <si>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</si>
  <si>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</si>
  <si>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</si>
  <si>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</si>
  <si>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</si>
  <si>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</si>
  <si>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</si>
  <si>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</si>
  <si>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</si>
  <si>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</si>
  <si>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</si>
  <si>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</si>
  <si>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</si>
  <si>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</si>
  <si>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</si>
  <si>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</si>
  <si>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</si>
  <si>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</si>
  <si>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</si>
  <si>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</si>
  <si>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</si>
  <si>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</si>
  <si>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</si>
  <si>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</si>
  <si>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</si>
  <si>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</si>
  <si>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</si>
  <si>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</si>
  <si>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</si>
  <si>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</si>
  <si>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</si>
  <si>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</si>
  <si>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</si>
  <si>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</si>
  <si>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</si>
  <si>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</si>
  <si>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</si>
  <si>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</si>
  <si>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</si>
  <si>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</si>
  <si>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</si>
  <si>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</si>
  <si>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</si>
  <si>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</si>
  <si>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</si>
  <si>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</si>
  <si>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</si>
  <si>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</si>
  <si>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</si>
  <si>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</si>
  <si>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</si>
  <si>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</si>
  <si>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</si>
  <si>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</si>
  <si>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</si>
  <si>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</si>
  <si>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</si>
  <si>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</si>
  <si>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</si>
  <si>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</si>
  <si>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</si>
  <si>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</si>
  <si>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</si>
  <si>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</si>
  <si>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</si>
  <si>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</si>
  <si>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</si>
  <si>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</si>
  <si>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</si>
  <si>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</si>
  <si>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</si>
  <si>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</si>
  <si>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</si>
  <si>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</si>
  <si>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</si>
  <si>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</si>
  <si>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</si>
  <si>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</si>
  <si>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</si>
  <si>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</si>
  <si>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</si>
  <si>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</si>
  <si>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</si>
  <si>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</si>
  <si>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</si>
  <si>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</si>
  <si>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</si>
  <si>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</si>
  <si>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</si>
  <si>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</si>
  <si>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</si>
  <si>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</si>
  <si>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</si>
  <si>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</si>
  <si>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</si>
  <si>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</si>
  <si>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</si>
  <si>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</si>
  <si>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</si>
  <si>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</si>
  <si>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</si>
  <si>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</si>
  <si>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</si>
  <si>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</si>
  <si>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</si>
  <si>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</si>
  <si>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</si>
  <si>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</si>
  <si>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</si>
  <si>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</si>
  <si>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</si>
  <si>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</si>
  <si>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</si>
  <si>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</si>
  <si>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</si>
  <si>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</si>
  <si>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</si>
  <si>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</si>
  <si>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</si>
  <si>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</si>
  <si>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</si>
  <si>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</si>
  <si>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</si>
  <si>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</si>
  <si>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</si>
  <si>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</si>
  <si>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</si>
  <si>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</si>
  <si>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</si>
  <si>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</si>
  <si>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</si>
  <si>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</si>
  <si>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</si>
  <si>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</si>
  <si>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</si>
  <si>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</si>
  <si>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</si>
  <si>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</si>
  <si>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</si>
  <si>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</si>
  <si>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</si>
  <si>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</si>
  <si>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</si>
  <si>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</si>
  <si>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</si>
  <si>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</si>
  <si>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</si>
  <si>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</si>
  <si>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</si>
  <si>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</si>
  <si>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</si>
  <si>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</si>
  <si>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</si>
  <si>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</si>
  <si>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</si>
  <si>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</si>
  <si>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</si>
  <si>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</si>
  <si>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</si>
  <si>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</si>
  <si>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</si>
  <si>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</si>
  <si>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</si>
  <si>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</si>
  <si>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</si>
  <si>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</si>
  <si>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</si>
  <si>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</si>
  <si>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</si>
  <si>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</si>
  <si>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</si>
  <si>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</si>
  <si>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</si>
  <si>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</si>
  <si>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</si>
  <si>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</si>
  <si>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</si>
  <si>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</si>
  <si>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</si>
  <si>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</si>
  <si>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</si>
  <si>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</si>
  <si>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</si>
  <si>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</si>
  <si>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</si>
  <si>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</si>
  <si>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</si>
  <si>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</si>
  <si>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</si>
  <si>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</si>
  <si>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</si>
  <si>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</si>
  <si>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</si>
  <si>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</si>
  <si>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</si>
  <si>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</si>
  <si>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</si>
  <si>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</si>
  <si>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</si>
  <si>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</si>
  <si>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</si>
  <si>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</si>
  <si>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</si>
  <si>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</si>
  <si>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</si>
  <si>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</si>
  <si>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</si>
  <si>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</si>
  <si>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</si>
  <si>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</si>
  <si>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</si>
  <si>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</si>
  <si>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</si>
  <si>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</si>
  <si>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</si>
  <si>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</si>
  <si>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</si>
  <si>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</si>
  <si>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</si>
  <si>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</si>
  <si>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</si>
  <si>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</si>
  <si>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</si>
  <si>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</si>
  <si>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</si>
  <si>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</si>
  <si>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</si>
  <si>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</si>
  <si>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</si>
  <si>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</si>
  <si>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</si>
  <si>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</si>
  <si>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</si>
  <si>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</si>
  <si>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</si>
  <si>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</si>
  <si>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</si>
  <si>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</si>
  <si>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</si>
  <si>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</si>
  <si>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</si>
  <si>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</si>
  <si>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</si>
  <si>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</si>
  <si>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</si>
  <si>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</si>
  <si>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</si>
  <si>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</si>
  <si>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</si>
  <si>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</si>
  <si>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</si>
  <si>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</si>
  <si>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</si>
  <si>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</si>
  <si>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</si>
  <si>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</si>
  <si>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</si>
  <si>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</si>
  <si>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</si>
  <si>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</si>
  <si>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</si>
  <si>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</si>
  <si>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</si>
  <si>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</si>
  <si>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</si>
  <si>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</si>
  <si>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</si>
  <si>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</si>
  <si>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</si>
  <si>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</si>
  <si>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</si>
  <si>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</si>
  <si>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</si>
  <si>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</si>
  <si>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</si>
  <si>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</si>
  <si>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</si>
  <si>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</si>
  <si>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</si>
  <si>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</si>
  <si>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</si>
  <si>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</si>
  <si>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</si>
  <si>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</si>
  <si>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</si>
  <si>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</si>
  <si>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</si>
  <si>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</si>
  <si>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</si>
  <si>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</si>
  <si>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</si>
  <si>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</si>
  <si>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</si>
  <si>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</si>
  <si>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</si>
  <si>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</si>
  <si>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</si>
  <si>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</si>
  <si>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</si>
  <si>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</si>
  <si>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</si>
  <si>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</si>
  <si>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</si>
  <si>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</si>
  <si>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</si>
  <si>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</si>
  <si>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</si>
  <si>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</si>
  <si>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</si>
  <si>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</si>
  <si>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</si>
  <si>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</si>
  <si>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</si>
  <si>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</si>
  <si>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</si>
  <si>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</si>
  <si>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</si>
  <si>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</si>
  <si>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</si>
  <si>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</si>
  <si>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</si>
  <si>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</si>
  <si>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</si>
  <si>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</si>
  <si>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</si>
  <si>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</si>
  <si>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</si>
  <si>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</si>
  <si>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</si>
  <si>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</si>
  <si>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</si>
  <si>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</si>
  <si>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</si>
  <si>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</si>
  <si>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</si>
  <si>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</si>
  <si>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</si>
  <si>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</si>
  <si>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</si>
  <si>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</si>
  <si>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</si>
  <si>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</si>
  <si>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</si>
  <si>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</si>
  <si>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</si>
  <si>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</si>
  <si>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</si>
  <si>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</si>
  <si>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</si>
  <si>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</si>
  <si>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</si>
  <si>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</si>
  <si>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</si>
  <si>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</si>
  <si>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</si>
  <si>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</si>
  <si>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</si>
  <si>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</si>
  <si>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</si>
  <si>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</si>
  <si>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</si>
  <si>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</si>
  <si>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</si>
  <si>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</si>
  <si>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</si>
  <si>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</si>
  <si>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</si>
  <si>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</si>
  <si>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</si>
  <si>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</si>
  <si>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</si>
  <si>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</si>
  <si>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</si>
  <si>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</si>
  <si>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</si>
  <si>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</si>
  <si>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</si>
  <si>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</si>
  <si>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</si>
  <si>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</si>
  <si>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</si>
  <si>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</si>
  <si>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</si>
  <si>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</si>
  <si>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</si>
  <si>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</si>
  <si>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</si>
  <si>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</si>
  <si>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</si>
  <si>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</si>
  <si>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</si>
  <si>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</si>
  <si>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</si>
  <si>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</si>
  <si>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</si>
  <si>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</si>
  <si>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</si>
  <si>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</si>
  <si>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</si>
  <si>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</si>
  <si>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</si>
  <si>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</si>
  <si>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</si>
  <si>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</si>
  <si>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</si>
  <si>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</si>
  <si>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</si>
  <si>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</si>
  <si>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</si>
  <si>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</si>
  <si>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</si>
  <si>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</si>
  <si>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</si>
  <si>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</si>
  <si>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</si>
  <si>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</si>
  <si>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</si>
  <si>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</si>
  <si>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</si>
  <si>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</si>
  <si>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</si>
  <si>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</si>
  <si>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</si>
  <si>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</si>
  <si>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</si>
  <si>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</si>
  <si>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</si>
  <si>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</si>
  <si>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</si>
  <si>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</si>
  <si>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</si>
  <si>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</si>
  <si>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</si>
  <si>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</si>
  <si>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</si>
  <si>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</si>
  <si>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</si>
  <si>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</si>
  <si>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</si>
  <si>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</si>
  <si>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</si>
  <si>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</si>
  <si>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</si>
  <si>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</si>
  <si>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</si>
  <si>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</si>
  <si>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</si>
  <si>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</si>
  <si>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</si>
  <si>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</si>
  <si>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</si>
  <si>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</si>
  <si>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</si>
  <si>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</si>
  <si>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</si>
  <si>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</si>
  <si>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</si>
  <si>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</si>
  <si>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</si>
  <si>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</si>
  <si>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</si>
  <si>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</si>
  <si>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</si>
  <si>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</si>
  <si>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</si>
  <si>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</si>
  <si>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</si>
  <si>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</si>
  <si>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</si>
  <si>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</si>
  <si>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</si>
  <si>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</si>
  <si>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</si>
  <si>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</si>
  <si>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</si>
  <si>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</si>
  <si>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</si>
  <si>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</si>
  <si>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</si>
  <si>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</si>
  <si>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</si>
  <si>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</si>
  <si>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</si>
  <si>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</si>
  <si>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</si>
  <si>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</si>
  <si>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</si>
  <si>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</si>
  <si>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</si>
  <si>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</si>
  <si>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</si>
  <si>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</si>
  <si>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</si>
  <si>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</si>
  <si>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</si>
  <si>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</si>
  <si>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</si>
  <si>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</si>
  <si>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</si>
  <si>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</si>
  <si>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</si>
  <si>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</si>
  <si>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</si>
  <si>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</si>
  <si>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</si>
  <si>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</si>
  <si>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</si>
  <si>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</si>
  <si>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</si>
  <si>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</si>
  <si>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</si>
  <si>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</si>
  <si>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</si>
  <si>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</si>
  <si>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</si>
  <si>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</si>
  <si>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</si>
  <si>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</si>
  <si>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</si>
  <si>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</si>
  <si>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</si>
  <si>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</si>
  <si>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</si>
  <si>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</si>
  <si>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</si>
  <si>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</si>
  <si>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</si>
  <si>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</si>
  <si>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</si>
  <si>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</si>
  <si>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</si>
  <si>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</si>
  <si>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</si>
  <si>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</si>
  <si>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</si>
  <si>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</si>
  <si>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</si>
  <si>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</si>
  <si>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</si>
  <si>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</si>
  <si>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</si>
  <si>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</si>
  <si>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</si>
  <si>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</si>
  <si>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</si>
  <si>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</si>
  <si>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</si>
  <si>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</si>
  <si>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</si>
  <si>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</si>
  <si>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</si>
  <si>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</si>
  <si>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</si>
  <si>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</si>
  <si>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</si>
  <si>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</si>
  <si>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</si>
  <si>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</si>
  <si>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</si>
  <si>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</si>
  <si>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</si>
  <si>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</si>
  <si>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</si>
  <si>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</si>
  <si>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</si>
  <si>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</si>
  <si>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</si>
  <si>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</si>
  <si>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</si>
  <si>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</si>
  <si>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</si>
  <si>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</si>
  <si>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</si>
  <si>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</si>
  <si>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</si>
  <si>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</si>
  <si>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</si>
  <si>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</si>
  <si>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</si>
  <si>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</si>
  <si>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</si>
  <si>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</si>
  <si>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</si>
  <si>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</si>
  <si>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</si>
  <si>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</si>
  <si>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</si>
  <si>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</si>
  <si>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</si>
  <si>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</si>
  <si>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</si>
  <si>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</si>
  <si>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</si>
  <si>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</si>
  <si>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</si>
  <si>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</si>
  <si>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</si>
  <si>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</si>
  <si>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</si>
  <si>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</si>
  <si>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</si>
  <si>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</si>
  <si>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</si>
  <si>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</si>
  <si>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</si>
  <si>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</si>
  <si>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</si>
  <si>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</si>
  <si>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</si>
  <si>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</si>
  <si>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</si>
  <si>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</si>
  <si>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</si>
  <si>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</si>
  <si>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</si>
  <si>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</si>
  <si>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</si>
  <si>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</si>
  <si>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</si>
  <si>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</si>
  <si>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</si>
  <si>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</si>
  <si>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</si>
  <si>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</si>
  <si>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</si>
  <si>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</si>
  <si>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</si>
  <si>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</si>
  <si>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</si>
  <si>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</si>
  <si>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</si>
  <si>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</si>
  <si>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</si>
  <si>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</si>
  <si>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</si>
  <si>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</si>
  <si>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</si>
  <si>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</si>
  <si>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</si>
  <si>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</si>
  <si>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</si>
  <si>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</si>
  <si>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</si>
  <si>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</si>
  <si>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</si>
  <si>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</si>
  <si>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</si>
  <si>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</si>
  <si>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</si>
  <si>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</si>
  <si>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</si>
  <si>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</si>
  <si>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</si>
  <si>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</si>
  <si>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</si>
  <si>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</si>
  <si>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</si>
  <si>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</si>
  <si>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</si>
  <si>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</si>
  <si>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</si>
  <si>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</si>
  <si>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</si>
  <si>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</si>
  <si>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</si>
  <si>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</si>
  <si>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</si>
  <si>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</si>
  <si>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</si>
  <si>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</si>
  <si>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</si>
  <si>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</si>
  <si>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</si>
  <si>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</si>
  <si>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</si>
  <si>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</si>
  <si>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</si>
  <si>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</si>
  <si>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</si>
  <si>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</si>
  <si>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</si>
  <si>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</si>
  <si>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</si>
  <si>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</si>
  <si>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</si>
  <si>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</si>
  <si>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</si>
  <si>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</si>
  <si>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</si>
  <si>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</si>
  <si>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</si>
  <si>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</si>
  <si>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</si>
  <si>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</si>
  <si>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</si>
  <si>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</si>
  <si>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</si>
  <si>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</si>
  <si>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</si>
  <si>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</si>
  <si>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</si>
  <si>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</si>
  <si>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</si>
  <si>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</si>
  <si>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</si>
  <si>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</si>
  <si>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</si>
  <si>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</si>
  <si>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</si>
  <si>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</si>
  <si>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</si>
  <si>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</si>
  <si>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</si>
  <si>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</si>
  <si>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</si>
  <si>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</si>
  <si>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</si>
  <si>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</si>
  <si>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</si>
  <si>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</si>
  <si>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</si>
  <si>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</si>
  <si>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</si>
  <si>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</si>
  <si>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</si>
  <si>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</si>
  <si>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</si>
  <si>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</si>
  <si>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</si>
  <si>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</si>
  <si>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</si>
  <si>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</si>
  <si>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</si>
  <si>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</si>
  <si>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</si>
  <si>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</si>
  <si>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</si>
  <si>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</si>
  <si>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</si>
  <si>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</si>
  <si>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</si>
  <si>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</si>
  <si>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</si>
  <si>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</si>
  <si>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</si>
  <si>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</si>
  <si>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</si>
  <si>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</si>
  <si>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</si>
  <si>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</si>
  <si>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</si>
  <si>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</si>
  <si>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</si>
  <si>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</si>
  <si>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</si>
  <si>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</si>
  <si>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</si>
  <si>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</si>
  <si>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</si>
  <si>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</si>
  <si>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</si>
  <si>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</si>
  <si>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</si>
  <si>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</si>
  <si>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</si>
  <si>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</si>
  <si>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</si>
  <si>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</si>
  <si>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</si>
  <si>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</si>
  <si>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</si>
  <si>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</si>
  <si>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</si>
  <si>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</si>
  <si>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</si>
  <si>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</si>
  <si>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</si>
  <si>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</si>
  <si>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</si>
  <si>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</si>
  <si>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</si>
  <si>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</si>
  <si>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</si>
  <si>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</si>
  <si>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</si>
  <si>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</si>
  <si>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</si>
  <si>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</si>
  <si>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</si>
  <si>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</si>
  <si>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</si>
  <si>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</si>
  <si>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</si>
  <si>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</si>
  <si>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</si>
  <si>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</si>
  <si>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</si>
  <si>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</si>
  <si>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</si>
  <si>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</si>
  <si>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</si>
  <si>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</si>
  <si>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</si>
  <si>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</si>
  <si>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</si>
  <si>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</si>
  <si>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</si>
  <si>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</si>
  <si>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</si>
  <si>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</si>
  <si>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</si>
  <si>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</si>
  <si>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</si>
  <si>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</si>
  <si>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</si>
  <si>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</si>
  <si>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</si>
  <si>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</si>
  <si>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</si>
  <si>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</si>
  <si>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</si>
  <si>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</si>
  <si>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</si>
  <si>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</si>
  <si>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</si>
  <si>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</si>
  <si>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</si>
  <si>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</si>
  <si>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</si>
  <si>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</si>
  <si>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</si>
  <si>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</si>
  <si>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</si>
  <si>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</si>
  <si>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</si>
  <si>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</si>
  <si>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</si>
  <si>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</si>
  <si>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</si>
  <si>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</si>
  <si>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</si>
  <si>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</si>
  <si>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</si>
  <si>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</si>
  <si>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</si>
  <si>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</si>
  <si>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</si>
  <si>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</si>
  <si>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</si>
  <si>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</si>
  <si>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</si>
  <si>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</si>
  <si>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</si>
  <si>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</si>
  <si>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</si>
  <si>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</si>
  <si>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</si>
  <si>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</si>
  <si>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</si>
  <si>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</si>
  <si>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</si>
  <si>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</si>
  <si>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</si>
  <si>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</si>
  <si>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</si>
  <si>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</si>
  <si>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</si>
  <si>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</si>
  <si>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</si>
  <si>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</si>
  <si>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</si>
  <si>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</si>
  <si>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</si>
  <si>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</si>
  <si>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</si>
  <si>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</si>
  <si>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</si>
  <si>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</si>
  <si>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</si>
  <si>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</si>
  <si>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</si>
  <si>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</si>
  <si>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</si>
  <si>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</si>
  <si>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</si>
  <si>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</si>
  <si>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</si>
  <si>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</si>
  <si>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</si>
  <si>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</si>
  <si>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</si>
  <si>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</si>
  <si>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</si>
  <si>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</si>
  <si>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</si>
  <si>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</si>
  <si>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</si>
  <si>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</si>
  <si>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</si>
  <si>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</si>
  <si>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</si>
  <si>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</si>
  <si>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</si>
  <si>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</si>
  <si>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</si>
  <si>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</si>
  <si>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</si>
  <si>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</si>
  <si>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</si>
  <si>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</si>
  <si>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</si>
  <si>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</si>
  <si>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</si>
  <si>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</si>
  <si>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</si>
  <si>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</si>
  <si>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</si>
  <si>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</si>
  <si>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</si>
  <si>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</si>
  <si>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</si>
  <si>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</si>
  <si>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</si>
  <si>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</si>
  <si>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</si>
  <si>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</si>
  <si>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</si>
  <si>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</si>
  <si>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</si>
  <si>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</si>
  <si>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</si>
  <si>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</si>
  <si>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</si>
  <si>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</si>
  <si>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</si>
  <si>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</si>
  <si>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</si>
  <si>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</si>
  <si>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</si>
  <si>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</si>
  <si>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</si>
  <si>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</si>
  <si>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</si>
  <si>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</si>
  <si>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</si>
  <si>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</si>
  <si>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</si>
  <si>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</si>
  <si>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</si>
  <si>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</si>
  <si>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</si>
  <si>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</si>
  <si>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</si>
  <si>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</si>
  <si>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</si>
  <si>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</si>
  <si>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</si>
  <si>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</si>
  <si>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</si>
  <si>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</si>
  <si>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</si>
  <si>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</si>
  <si>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</si>
  <si>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</si>
  <si>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</si>
  <si>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</si>
  <si>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</si>
  <si>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</si>
  <si>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</si>
  <si>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</si>
  <si>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</si>
  <si>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</si>
  <si>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</si>
  <si>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</si>
  <si>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</si>
  <si>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</si>
  <si>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</si>
  <si>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</si>
  <si>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</si>
  <si>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</si>
  <si>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</si>
  <si>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</si>
  <si>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</si>
  <si>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</si>
  <si>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</si>
  <si>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</si>
  <si>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</si>
  <si>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</si>
  <si>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</si>
  <si>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</si>
  <si>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</si>
  <si>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</si>
  <si>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</si>
  <si>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</si>
  <si>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</si>
  <si>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</si>
  <si>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</si>
  <si>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</si>
  <si>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</si>
  <si>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</si>
  <si>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</si>
  <si>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</si>
  <si>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</si>
  <si>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</si>
  <si>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</si>
  <si>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</si>
  <si>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</si>
  <si>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</si>
  <si>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</si>
  <si>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</si>
  <si>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</si>
  <si>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</si>
  <si>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</si>
  <si>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</si>
  <si>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</si>
  <si>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</si>
  <si>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</si>
  <si>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</si>
  <si>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</si>
  <si>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</si>
  <si>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</si>
  <si>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</si>
  <si>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</si>
  <si>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</si>
  <si>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</si>
  <si>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</si>
  <si>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</si>
  <si>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</si>
  <si>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</si>
  <si>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</si>
  <si>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</si>
  <si>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</si>
  <si>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</si>
  <si>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</si>
  <si>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</si>
  <si>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</si>
  <si>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</si>
  <si>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</si>
  <si>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</si>
  <si>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</si>
  <si>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</si>
  <si>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</si>
  <si>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</si>
  <si>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</si>
  <si>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</si>
  <si>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</si>
  <si>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</si>
  <si>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</si>
  <si>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</si>
  <si>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</si>
  <si>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</si>
  <si>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</si>
  <si>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</si>
  <si>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</si>
  <si>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</si>
  <si>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</si>
  <si>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</si>
  <si>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</si>
  <si>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</si>
  <si>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</si>
  <si>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</si>
  <si>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</si>
  <si>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</si>
  <si>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</si>
  <si>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</si>
  <si>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</si>
  <si>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</si>
  <si>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</si>
  <si>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</si>
  <si>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</si>
  <si>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</si>
  <si>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</si>
  <si>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</si>
  <si>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</si>
  <si>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</si>
  <si>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</si>
  <si>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</si>
  <si>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</si>
  <si>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</si>
  <si>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</si>
  <si>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</si>
  <si>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</si>
  <si>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</si>
  <si>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</si>
  <si>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</si>
  <si>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</si>
  <si>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</si>
  <si>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</si>
  <si>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</si>
  <si>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</si>
  <si>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</si>
  <si>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</si>
  <si>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</si>
  <si>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</si>
  <si>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</si>
  <si>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</si>
  <si>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</si>
  <si>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</si>
  <si>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</si>
  <si>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</si>
  <si>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</si>
  <si>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</si>
  <si>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</si>
  <si>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</si>
  <si>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</si>
  <si>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</si>
  <si>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</si>
  <si>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</si>
  <si>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</si>
  <si>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</si>
  <si>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</si>
  <si>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</si>
  <si>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</si>
  <si>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</si>
  <si>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</si>
  <si>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</si>
  <si>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</si>
  <si>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</si>
  <si>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</si>
  <si>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</si>
  <si>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</si>
  <si>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</si>
  <si>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</si>
  <si>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</si>
  <si>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</si>
  <si>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</si>
  <si>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</si>
  <si>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</si>
  <si>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</si>
  <si>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</si>
  <si>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</si>
  <si>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</si>
  <si>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</si>
  <si>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</si>
  <si>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</si>
  <si>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</si>
  <si>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</si>
  <si>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</si>
  <si>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</si>
  <si>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</si>
  <si>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</si>
  <si>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</si>
  <si>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</si>
  <si>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</si>
  <si>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</si>
  <si>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</si>
  <si>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</si>
  <si>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</si>
  <si>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</si>
  <si>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</si>
  <si>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</si>
  <si>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</si>
  <si>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</si>
  <si>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</si>
  <si>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</si>
  <si>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</si>
  <si>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</si>
  <si>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</si>
  <si>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</si>
  <si>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</si>
  <si>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</si>
  <si>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</si>
  <si>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</si>
  <si>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</si>
  <si>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</si>
  <si>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</si>
  <si>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</si>
  <si>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</si>
  <si>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</si>
  <si>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</si>
  <si>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</si>
  <si>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</si>
  <si>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</si>
  <si>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</si>
  <si>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</si>
  <si>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</si>
  <si>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</si>
  <si>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</si>
  <si>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</si>
  <si>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</si>
  <si>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</si>
  <si>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</si>
  <si>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</si>
  <si>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</si>
  <si>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</si>
  <si>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</si>
  <si>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</si>
  <si>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</si>
  <si>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</si>
  <si>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</si>
  <si>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</si>
  <si>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</si>
  <si>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</si>
  <si>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</si>
  <si>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</si>
  <si>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</si>
  <si>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</si>
  <si>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</si>
  <si>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</si>
  <si>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</si>
  <si>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</si>
  <si>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</si>
  <si>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</si>
  <si>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</si>
  <si>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</si>
  <si>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</si>
  <si>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</si>
  <si>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</si>
  <si>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</si>
  <si>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</si>
  <si>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</si>
  <si>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</si>
  <si>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</si>
  <si>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</si>
  <si>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</si>
  <si>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</si>
  <si>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</si>
  <si>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</si>
  <si>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</si>
  <si>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</si>
  <si>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</si>
  <si>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</si>
  <si>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</si>
  <si>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</si>
  <si>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</si>
  <si>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</si>
  <si>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</si>
  <si>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</si>
  <si>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</si>
  <si>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</si>
  <si>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</si>
  <si>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</si>
  <si>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</si>
  <si>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</si>
  <si>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</si>
  <si>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</si>
  <si>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</si>
  <si>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</si>
  <si>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</si>
  <si>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</si>
  <si>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</si>
  <si>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</si>
  <si>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</si>
  <si>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</si>
  <si>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</si>
  <si>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</si>
  <si>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</si>
  <si>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</si>
  <si>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</si>
  <si>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</si>
  <si>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</si>
  <si>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</si>
  <si>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</si>
  <si>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</si>
  <si>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</si>
  <si>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</si>
  <si>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</si>
  <si>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</si>
  <si>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</si>
  <si>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</si>
  <si>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</si>
  <si>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</si>
  <si>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</si>
  <si>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</si>
  <si>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</si>
  <si>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</si>
  <si>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</si>
  <si>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</si>
  <si>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</si>
  <si>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</si>
  <si>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</si>
  <si>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</si>
  <si>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</si>
  <si>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</si>
  <si>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</si>
  <si>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</si>
  <si>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</si>
  <si>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</si>
  <si>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</si>
  <si>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</si>
  <si>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</si>
  <si>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</si>
  <si>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</si>
  <si>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</si>
  <si>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</si>
  <si>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</si>
  <si>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</si>
  <si>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</si>
  <si>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</si>
  <si>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</si>
  <si>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</si>
  <si>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</si>
  <si>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</si>
  <si>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</si>
  <si>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</si>
  <si>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</si>
  <si>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</si>
  <si>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</si>
  <si>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</si>
  <si>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</si>
  <si>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</si>
  <si>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</si>
  <si>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</si>
  <si>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</si>
  <si>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</si>
  <si>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</si>
  <si>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</si>
  <si>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</si>
  <si>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</si>
  <si>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</si>
  <si>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</si>
  <si>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</si>
  <si>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</si>
  <si>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</si>
  <si>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</si>
  <si>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</si>
  <si>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</si>
  <si>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</si>
  <si>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</si>
  <si>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</si>
  <si>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</si>
  <si>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</si>
  <si>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</si>
  <si>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</si>
  <si>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</si>
  <si>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</si>
  <si>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</si>
  <si>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</si>
  <si>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</si>
  <si>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</si>
  <si>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</si>
  <si>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</si>
  <si>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</si>
  <si>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</si>
  <si>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</si>
  <si>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</si>
  <si>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</si>
  <si>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</si>
  <si>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</si>
  <si>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</si>
  <si>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</si>
  <si>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</si>
  <si>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</si>
  <si>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</si>
  <si>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</si>
  <si>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</si>
  <si>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</si>
  <si>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</si>
  <si>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</si>
  <si>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</si>
  <si>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</si>
  <si>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</si>
  <si>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</si>
  <si>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</si>
  <si>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</si>
  <si>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</si>
  <si>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</si>
  <si>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</si>
  <si>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</si>
  <si>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</si>
  <si>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</si>
  <si>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</si>
  <si>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</si>
  <si>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</si>
  <si>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</si>
  <si>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</si>
  <si>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</si>
  <si>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</si>
  <si>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</si>
  <si>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</si>
  <si>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</si>
  <si>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</si>
  <si>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</si>
  <si>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</si>
  <si>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</si>
  <si>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</si>
  <si>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</si>
  <si>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</si>
  <si>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</si>
  <si>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</si>
  <si>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</si>
  <si>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</si>
  <si>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</si>
  <si>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</si>
  <si>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</si>
  <si>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</si>
  <si>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</si>
  <si>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</si>
  <si>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</si>
  <si>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</si>
  <si>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</si>
  <si>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</si>
  <si>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</si>
  <si>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</si>
  <si>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</si>
  <si>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</si>
  <si>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</si>
  <si>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</si>
  <si>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</si>
  <si>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</si>
  <si>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</si>
  <si>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</si>
  <si>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</si>
  <si>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</si>
  <si>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</si>
  <si>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</si>
  <si>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</si>
  <si>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</si>
  <si>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</si>
  <si>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</si>
  <si>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</si>
  <si>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</si>
  <si>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</si>
  <si>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</si>
  <si>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</si>
  <si>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</si>
  <si>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</si>
  <si>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</si>
  <si>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</si>
  <si>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</si>
  <si>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</si>
  <si>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</si>
  <si>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</si>
  <si>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</si>
  <si>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</si>
  <si>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</si>
  <si>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</si>
  <si>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</si>
  <si>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</si>
  <si>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</si>
  <si>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</si>
  <si>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</si>
  <si>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</si>
  <si>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</si>
  <si>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</si>
  <si>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</si>
  <si>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</si>
  <si>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</si>
  <si>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</si>
  <si>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</si>
  <si>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</si>
  <si>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</si>
  <si>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</si>
  <si>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</si>
  <si>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</si>
  <si>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</si>
  <si>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</si>
  <si>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</si>
  <si>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</si>
  <si>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</si>
  <si>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</si>
  <si>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</si>
  <si>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</si>
  <si>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</si>
  <si>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</si>
  <si>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</si>
  <si>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</si>
  <si>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</si>
  <si>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</si>
  <si>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</si>
  <si>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</si>
  <si>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</si>
  <si>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</si>
  <si>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</si>
  <si>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</si>
  <si>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</si>
  <si>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</si>
  <si>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</si>
  <si>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</si>
  <si>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</si>
  <si>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</si>
  <si>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</si>
  <si>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</si>
  <si>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</si>
  <si>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</si>
  <si>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</si>
  <si>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</si>
  <si>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</si>
  <si>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</si>
  <si>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</si>
  <si>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</si>
  <si>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</si>
  <si>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</si>
  <si>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</si>
  <si>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</si>
  <si>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</si>
  <si>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</si>
  <si>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</si>
  <si>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</si>
  <si>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</si>
  <si>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</si>
  <si>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</si>
  <si>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</si>
  <si>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</si>
  <si>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</si>
  <si>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</si>
  <si>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</si>
  <si>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</si>
  <si>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</si>
  <si>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</si>
  <si>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</si>
  <si>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</si>
  <si>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</si>
  <si>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</si>
  <si>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</si>
  <si>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</si>
  <si>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</si>
  <si>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</si>
  <si>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</si>
  <si>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</si>
  <si>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</si>
  <si>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</si>
  <si>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</si>
  <si>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</si>
  <si>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</si>
  <si>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</si>
  <si>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</si>
  <si>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</si>
  <si>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</si>
  <si>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</si>
  <si>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</si>
  <si>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</si>
  <si>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</si>
  <si>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</si>
  <si>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</si>
  <si>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</si>
  <si>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</si>
  <si>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</si>
  <si>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</si>
  <si>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</si>
  <si>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</si>
  <si>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</si>
  <si>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</si>
  <si>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</si>
  <si>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</si>
  <si>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</si>
  <si>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</si>
  <si>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</si>
  <si>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</si>
  <si>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</si>
  <si>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</si>
  <si>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</si>
  <si>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</si>
  <si>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</si>
  <si>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</si>
  <si>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</si>
  <si>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</si>
  <si>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</si>
  <si>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</si>
  <si>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</si>
  <si>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</si>
  <si>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</si>
  <si>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</si>
  <si>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</si>
  <si>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</si>
  <si>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</si>
  <si>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</si>
  <si>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</si>
  <si>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</si>
  <si>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</si>
  <si>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</si>
  <si>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</si>
  <si>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</si>
  <si>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</si>
  <si>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</si>
  <si>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</si>
  <si>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</si>
  <si>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</si>
  <si>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</si>
  <si>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</si>
  <si>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</si>
  <si>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</si>
  <si>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</si>
  <si>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</si>
  <si>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</si>
  <si>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</si>
  <si>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</si>
  <si>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</si>
  <si>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</si>
  <si>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</si>
  <si>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</si>
  <si>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</si>
  <si>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</si>
  <si>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</si>
  <si>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</si>
  <si>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</si>
  <si>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</si>
  <si>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</si>
  <si>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</si>
  <si>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</si>
  <si>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</si>
  <si>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</si>
  <si>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</si>
  <si>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</si>
  <si>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</si>
  <si>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</si>
  <si>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</si>
  <si>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</si>
  <si>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</si>
  <si>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</si>
  <si>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</si>
  <si>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</si>
  <si>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</si>
  <si>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</si>
  <si>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</si>
  <si>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</si>
  <si>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</si>
  <si>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</si>
  <si>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</si>
  <si>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</si>
  <si>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</si>
  <si>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</si>
  <si>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</si>
  <si>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</si>
  <si>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</si>
  <si>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</si>
  <si>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</si>
  <si>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</si>
  <si>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</si>
  <si>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</si>
  <si>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</si>
  <si>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</si>
  <si>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</si>
  <si>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</si>
  <si>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</si>
  <si>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</si>
  <si>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</si>
  <si>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</si>
  <si>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</si>
  <si>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</si>
  <si>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</si>
  <si>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</si>
  <si>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</si>
  <si>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</si>
  <si>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</si>
  <si>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</si>
  <si>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</si>
  <si>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</si>
  <si>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</si>
  <si>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</si>
  <si>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</si>
  <si>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</si>
  <si>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</si>
  <si>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</si>
  <si>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</si>
  <si>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</si>
  <si>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</si>
  <si>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</si>
  <si>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</si>
  <si>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</si>
  <si>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</si>
  <si>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</si>
  <si>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</si>
  <si>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</si>
  <si>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</si>
  <si>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</si>
  <si>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</si>
  <si>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</si>
  <si>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</si>
  <si>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</si>
  <si>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</si>
  <si>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</si>
  <si>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</si>
  <si>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</si>
  <si>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</si>
  <si>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</si>
  <si>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</si>
  <si>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</si>
  <si>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</si>
  <si>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</si>
  <si>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</si>
  <si>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</si>
  <si>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</si>
  <si>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</si>
  <si>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</si>
  <si>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</si>
  <si>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</si>
  <si>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</si>
  <si>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</si>
  <si>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</si>
  <si>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</si>
  <si>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</si>
  <si>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</si>
  <si>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</si>
  <si>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</si>
  <si>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</si>
  <si>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</si>
  <si>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</si>
  <si>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</si>
  <si>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</si>
  <si>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</si>
  <si>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</si>
  <si>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</si>
  <si>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</si>
  <si>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</si>
  <si>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</si>
  <si>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</si>
  <si>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</si>
  <si>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</si>
  <si>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</si>
  <si>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</si>
  <si>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</si>
  <si>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</si>
  <si>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</si>
  <si>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</si>
  <si>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</si>
  <si>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</si>
  <si>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</si>
  <si>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</si>
  <si>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</si>
  <si>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</si>
  <si>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</si>
  <si>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</si>
  <si>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</si>
  <si>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</si>
  <si>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</si>
  <si>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</si>
  <si>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</si>
  <si>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</si>
  <si>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</si>
  <si>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</si>
  <si>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</si>
  <si>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</si>
  <si>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</si>
  <si>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</si>
  <si>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</si>
  <si>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</si>
  <si>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</si>
  <si>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</si>
  <si>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</si>
  <si>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</si>
  <si>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</si>
  <si>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</si>
  <si>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</si>
  <si>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</si>
  <si>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</si>
  <si>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</si>
  <si>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</si>
  <si>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</si>
  <si>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</si>
  <si>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</si>
  <si>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</si>
  <si>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</si>
  <si>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</si>
  <si>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</si>
  <si>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</si>
  <si>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</si>
  <si>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</si>
  <si>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</si>
  <si>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</si>
  <si>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</si>
  <si>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</si>
  <si>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</si>
  <si>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</si>
  <si>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</si>
  <si>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</si>
  <si>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</si>
  <si>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</si>
  <si>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</si>
  <si>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</si>
  <si>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</si>
  <si>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</si>
  <si>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</si>
  <si>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</si>
  <si>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</si>
  <si>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</si>
  <si>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</si>
  <si>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</si>
  <si>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</si>
  <si>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</si>
  <si>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</si>
  <si>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</si>
  <si>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</si>
  <si>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</si>
  <si>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</si>
  <si>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</si>
  <si>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</si>
  <si>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</si>
  <si>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</si>
  <si>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</si>
  <si>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</si>
  <si>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</si>
  <si>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</si>
  <si>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</si>
  <si>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</si>
  <si>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</si>
  <si>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</si>
  <si>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</si>
  <si>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</si>
  <si>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</si>
  <si>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</si>
  <si>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</si>
  <si>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</si>
  <si>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</si>
  <si>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</si>
  <si>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</si>
  <si>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</si>
  <si>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</si>
  <si>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</si>
  <si>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</si>
  <si>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</si>
  <si>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</si>
  <si>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</si>
  <si>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</si>
  <si>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</si>
  <si>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</si>
  <si>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</si>
  <si>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</si>
  <si>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</si>
  <si>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</si>
  <si>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</si>
  <si>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</si>
  <si>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</si>
  <si>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</si>
  <si>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</si>
  <si>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</si>
  <si>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</si>
  <si>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</si>
  <si>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</si>
  <si>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</si>
  <si>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</si>
  <si>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</si>
  <si>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</si>
  <si>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</si>
  <si>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</si>
  <si>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</si>
  <si>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</si>
  <si>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</si>
  <si>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</si>
  <si>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</si>
  <si>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</si>
  <si>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</si>
  <si>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</si>
  <si>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</si>
  <si>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</si>
  <si>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</si>
  <si>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</si>
  <si>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</si>
  <si>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</si>
  <si>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</si>
  <si>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</si>
  <si>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</si>
  <si>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</si>
  <si>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</si>
  <si>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</si>
  <si>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</si>
  <si>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</si>
  <si>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</si>
  <si>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</si>
  <si>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</si>
  <si>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</si>
  <si>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</si>
  <si>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</si>
  <si>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</si>
  <si>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</si>
  <si>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</si>
  <si>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</si>
  <si>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</si>
  <si>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</si>
  <si>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</si>
  <si>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</si>
  <si>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</si>
  <si>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</si>
  <si>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</si>
  <si>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</si>
  <si>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</si>
  <si>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</si>
  <si>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</si>
  <si>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</si>
  <si>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</si>
  <si>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</si>
  <si>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</si>
  <si>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</si>
  <si>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</si>
  <si>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</si>
  <si>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</si>
  <si>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</si>
  <si>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</si>
  <si>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</si>
  <si>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</si>
  <si>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</si>
  <si>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</si>
  <si>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</si>
  <si>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</si>
  <si>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</si>
  <si>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</si>
  <si>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</si>
  <si>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</si>
  <si>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</si>
  <si>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</si>
  <si>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</si>
  <si>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</si>
  <si>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</si>
  <si>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</si>
  <si>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</si>
  <si>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</si>
  <si>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</si>
  <si>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</si>
  <si>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</si>
  <si>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</si>
  <si>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</si>
  <si>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</si>
  <si>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</si>
  <si>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</si>
  <si>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</si>
  <si>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</si>
  <si>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</si>
  <si>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</si>
  <si>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</si>
  <si>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</si>
  <si>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</si>
  <si>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</si>
  <si>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</si>
  <si>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</si>
  <si>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</si>
  <si>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</si>
  <si>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</si>
  <si>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</si>
  <si>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</si>
  <si>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</si>
  <si>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</si>
  <si>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</si>
  <si>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</si>
  <si>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</si>
  <si>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</si>
  <si>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</si>
  <si>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</si>
  <si>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</si>
  <si>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</si>
  <si>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</si>
  <si>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</si>
  <si>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</si>
  <si>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</si>
  <si>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</si>
  <si>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</si>
  <si>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</si>
  <si>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</si>
  <si>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</si>
  <si>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</si>
  <si>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</si>
  <si>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</si>
  <si>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</si>
  <si>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</si>
  <si>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</si>
  <si>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</si>
  <si>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</si>
  <si>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</si>
  <si>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</si>
  <si>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</si>
  <si>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</si>
  <si>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</si>
  <si>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</si>
  <si>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</si>
  <si>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</si>
  <si>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</si>
  <si>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</si>
  <si>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</si>
  <si>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</si>
  <si>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</si>
  <si>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</si>
  <si>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</si>
  <si>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</si>
  <si>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</si>
  <si>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</si>
  <si>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</si>
  <si>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</si>
  <si>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</si>
  <si>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</si>
  <si>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</si>
  <si>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</si>
  <si>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</si>
  <si>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</si>
  <si>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</si>
  <si>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</si>
  <si>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</si>
  <si>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</si>
  <si>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</si>
  <si>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</si>
  <si>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</si>
  <si>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</si>
  <si>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</si>
  <si>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</si>
  <si>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</si>
  <si>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</si>
  <si>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</si>
  <si>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</si>
  <si>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</si>
  <si>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</si>
  <si>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</si>
  <si>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</si>
  <si>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</si>
  <si>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</si>
  <si>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</si>
  <si>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</si>
  <si>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</si>
  <si>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</si>
  <si>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</si>
  <si>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</si>
  <si>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</si>
  <si>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</si>
  <si>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</si>
  <si>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</si>
  <si>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</si>
  <si>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</si>
  <si>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</si>
  <si>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</si>
  <si>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</si>
  <si>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</si>
  <si>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</si>
  <si>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</si>
  <si>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</si>
  <si>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</si>
  <si>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</si>
  <si>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</si>
  <si>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</si>
  <si>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</si>
  <si>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</si>
  <si>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</si>
  <si>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</si>
  <si>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</si>
  <si>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</si>
  <si>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</si>
  <si>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</si>
  <si>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</si>
  <si>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</si>
  <si>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</si>
  <si>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</si>
  <si>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</si>
  <si>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</si>
  <si>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</si>
  <si>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</si>
  <si>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</si>
  <si>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</si>
  <si>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</si>
  <si>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</si>
  <si>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</si>
  <si>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</si>
  <si>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</si>
  <si>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</si>
  <si>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</si>
  <si>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</si>
  <si>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</si>
  <si>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</si>
  <si>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</si>
  <si>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</si>
  <si>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</si>
  <si>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</si>
  <si>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</si>
  <si>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</si>
  <si>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</si>
  <si>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</si>
  <si>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</si>
  <si>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</si>
  <si>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</si>
  <si>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</si>
  <si>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</si>
  <si>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</si>
  <si>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</si>
  <si>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</si>
  <si>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</si>
  <si>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</si>
  <si>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</si>
  <si>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</si>
  <si>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</si>
  <si>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</si>
  <si>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</si>
  <si>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</si>
  <si>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</si>
  <si>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</si>
  <si>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</si>
  <si>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</si>
  <si>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</si>
  <si>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</si>
  <si>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</si>
  <si>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</si>
  <si>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</si>
  <si>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</si>
  <si>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</si>
  <si>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</si>
  <si>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</si>
  <si>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</si>
  <si>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</si>
  <si>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</si>
  <si>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</si>
  <si>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</si>
  <si>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</si>
  <si>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</si>
  <si>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</si>
  <si>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</si>
  <si>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</si>
  <si>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</si>
  <si>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</si>
  <si>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</si>
  <si>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</si>
  <si>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</si>
  <si>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</si>
  <si>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</si>
  <si>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</si>
  <si>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</si>
  <si>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</si>
  <si>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</si>
  <si>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</si>
  <si>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</si>
  <si>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</si>
  <si>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</si>
  <si>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</si>
  <si>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</si>
  <si>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</si>
  <si>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</si>
  <si>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</si>
  <si>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</si>
  <si>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</si>
  <si>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</si>
  <si>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</si>
  <si>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</si>
  <si>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</si>
  <si>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</si>
  <si>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</si>
  <si>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</si>
  <si>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</si>
  <si>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</si>
  <si>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</si>
  <si>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</si>
  <si>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</si>
  <si>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</si>
  <si>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</si>
  <si>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</si>
  <si>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</si>
  <si>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</si>
  <si>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</si>
  <si>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</si>
  <si>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</si>
  <si>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</si>
  <si>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</si>
  <si>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</si>
  <si>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</si>
  <si>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</si>
  <si>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</si>
  <si>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</si>
  <si>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</si>
  <si>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</si>
  <si>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</si>
  <si>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</si>
  <si>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</si>
  <si>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</si>
  <si>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</si>
  <si>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</si>
  <si>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</si>
  <si>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</si>
  <si>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</si>
  <si>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</si>
  <si>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</si>
  <si>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</si>
  <si>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</si>
  <si>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</si>
  <si>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</si>
  <si>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</si>
  <si>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</si>
  <si>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</si>
  <si>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</si>
  <si>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</si>
  <si>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</si>
  <si>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</si>
  <si>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</si>
  <si>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</si>
  <si>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</si>
  <si>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</si>
  <si>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</si>
  <si>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</si>
  <si>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</si>
  <si>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</si>
  <si>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</si>
  <si>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</si>
  <si>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</si>
  <si>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</si>
  <si>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</si>
  <si>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</si>
  <si>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</si>
  <si>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</si>
  <si>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</si>
  <si>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</si>
  <si>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</si>
  <si>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</si>
  <si>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</si>
  <si>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</si>
  <si>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</si>
  <si>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</si>
  <si>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</si>
  <si>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</si>
  <si>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</si>
  <si>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</si>
  <si>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</si>
  <si>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</si>
  <si>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</si>
  <si>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</si>
  <si>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</si>
  <si>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</si>
  <si>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</si>
  <si>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</si>
  <si>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</si>
  <si>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</si>
  <si>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</si>
  <si>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</si>
  <si>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</si>
  <si>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</si>
  <si>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</si>
  <si>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</si>
  <si>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</si>
  <si>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</si>
  <si>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</si>
  <si>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</si>
  <si>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</si>
  <si>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</si>
  <si>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</si>
  <si>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</si>
  <si>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</si>
  <si>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</si>
  <si>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</si>
  <si>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</si>
  <si>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</si>
  <si>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</si>
  <si>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</si>
  <si>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</si>
  <si>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</si>
  <si>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</si>
  <si>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</si>
  <si>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</si>
  <si>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</si>
  <si>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</si>
  <si>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</si>
  <si>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</si>
  <si>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</si>
  <si>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</si>
  <si>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</si>
  <si>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</si>
  <si>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</si>
  <si>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</si>
  <si>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</si>
  <si>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</si>
  <si>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</si>
  <si>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</si>
  <si>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</si>
  <si>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</si>
  <si>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</si>
  <si>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</si>
  <si>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</si>
  <si>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</si>
  <si>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</si>
  <si>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</si>
  <si>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</si>
  <si>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</si>
  <si>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</si>
  <si>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</si>
  <si>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</si>
  <si>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</si>
  <si>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</si>
  <si>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</si>
  <si>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</si>
  <si>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</si>
  <si>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</si>
  <si>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</si>
  <si>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</si>
  <si>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</si>
  <si>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</si>
  <si>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</si>
  <si>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</si>
  <si>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</si>
  <si>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</si>
  <si>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</si>
  <si>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</si>
  <si>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</si>
  <si>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</si>
  <si>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</si>
  <si>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</si>
  <si>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</si>
  <si>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</si>
  <si>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</si>
  <si>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</si>
  <si>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</si>
  <si>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</si>
  <si>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</si>
  <si>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</si>
  <si>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</si>
  <si>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</si>
  <si>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</si>
  <si>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</si>
  <si>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</si>
  <si>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</si>
  <si>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</si>
  <si>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</si>
  <si>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</si>
  <si>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</si>
  <si>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</si>
  <si>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</si>
  <si>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</si>
  <si>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</si>
  <si>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</si>
  <si>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</si>
  <si>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</si>
  <si>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</si>
  <si>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</si>
  <si>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</si>
  <si>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</si>
  <si>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</si>
  <si>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</si>
  <si>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</si>
  <si>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</si>
  <si>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</si>
  <si>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</si>
  <si>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</si>
  <si>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</si>
  <si>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</si>
  <si>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</si>
  <si>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</si>
  <si>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</si>
  <si>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</si>
  <si>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</si>
  <si>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</si>
  <si>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</si>
  <si>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</si>
  <si>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</si>
  <si>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</si>
  <si>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</si>
  <si>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</si>
  <si>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</si>
  <si>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</si>
  <si>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</si>
  <si>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</si>
  <si>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</si>
  <si>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</si>
  <si>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</si>
  <si>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</si>
  <si>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</si>
  <si>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</si>
  <si>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</si>
  <si>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</si>
  <si>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</si>
  <si>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</si>
  <si>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</si>
  <si>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</si>
  <si>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</si>
  <si>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</si>
  <si>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</si>
  <si>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</si>
  <si>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</si>
  <si>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</si>
  <si>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</si>
  <si>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</si>
  <si>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</si>
  <si>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</si>
  <si>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</si>
  <si>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</si>
  <si>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</si>
  <si>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</si>
  <si>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</si>
  <si>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</si>
  <si>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</si>
  <si>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</si>
  <si>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</si>
  <si>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</si>
  <si>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</si>
  <si>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</si>
  <si>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</si>
  <si>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</si>
  <si>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</si>
  <si>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</si>
  <si>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</si>
  <si>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</si>
  <si>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</si>
  <si>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</si>
  <si>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</si>
  <si>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</si>
  <si>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</si>
  <si>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</si>
  <si>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</si>
  <si>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</si>
  <si>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</si>
  <si>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</si>
  <si>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</si>
  <si>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</si>
  <si>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</si>
  <si>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</si>
  <si>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</si>
  <si>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</si>
  <si>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</si>
  <si>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</si>
  <si>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</si>
  <si>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</si>
  <si>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</si>
  <si>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</si>
  <si>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</si>
  <si>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</si>
  <si>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</si>
  <si>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</si>
  <si>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</si>
  <si>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</si>
  <si>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</si>
  <si>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</si>
  <si>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</si>
  <si>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</si>
  <si>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</si>
  <si>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</si>
  <si>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</si>
  <si>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</si>
  <si>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</si>
  <si>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</si>
  <si>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</si>
  <si>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</si>
  <si>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</si>
  <si>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</si>
  <si>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</si>
  <si>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</si>
  <si>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</si>
  <si>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</si>
  <si>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</si>
  <si>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</si>
  <si>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</si>
  <si>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</si>
  <si>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</si>
  <si>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</si>
  <si>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</si>
  <si>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</si>
  <si>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</si>
  <si>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</si>
  <si>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</si>
  <si>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</si>
  <si>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</si>
  <si>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</si>
  <si>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</si>
  <si>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</si>
  <si>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</si>
  <si>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</si>
  <si>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</si>
  <si>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</si>
  <si>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</si>
  <si>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</si>
  <si>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</si>
  <si>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</si>
  <si>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</si>
  <si>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</si>
  <si>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</si>
  <si>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</si>
  <si>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</si>
  <si>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</si>
  <si>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</si>
  <si>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</si>
  <si>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</si>
  <si>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</si>
  <si>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</si>
  <si>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</si>
  <si>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</si>
  <si>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</si>
  <si>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</si>
  <si>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</si>
  <si>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</si>
  <si>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</si>
  <si>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</si>
  <si>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</si>
  <si>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</si>
  <si>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</si>
  <si>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</si>
  <si>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</si>
  <si>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</si>
  <si>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</si>
  <si>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</si>
  <si>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</si>
  <si>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</si>
  <si>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</si>
  <si>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</si>
  <si>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</si>
  <si>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</si>
  <si>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</si>
  <si>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</si>
  <si>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</si>
  <si>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</si>
  <si>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</si>
  <si>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</si>
  <si>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</si>
  <si>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</si>
  <si>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</si>
  <si>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</si>
  <si>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</si>
  <si>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</si>
  <si>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</si>
  <si>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</si>
  <si>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</si>
  <si>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</si>
  <si>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</si>
  <si>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</si>
  <si>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</si>
  <si>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</si>
  <si>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</si>
  <si>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</si>
  <si>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</si>
  <si>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</si>
  <si>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</si>
  <si>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</si>
  <si>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</si>
  <si>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</si>
  <si>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</si>
  <si>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</si>
  <si>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</si>
  <si>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</si>
  <si>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</si>
  <si>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</si>
  <si>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</si>
  <si>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</si>
  <si>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</si>
  <si>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</si>
  <si>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</si>
  <si>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</si>
  <si>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</si>
  <si>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</si>
  <si>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</si>
  <si>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</si>
  <si>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</si>
  <si>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</si>
  <si>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</si>
  <si>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</si>
  <si>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</si>
  <si>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</si>
  <si>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</si>
  <si>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</si>
  <si>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</si>
  <si>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</si>
  <si>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</si>
  <si>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</si>
  <si>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</si>
  <si>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</si>
  <si>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</si>
  <si>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</si>
  <si>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</si>
  <si>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</si>
  <si>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</si>
  <si>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</si>
  <si>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</si>
  <si>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</si>
  <si>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</si>
  <si>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</si>
  <si>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</si>
  <si>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</si>
  <si>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</si>
  <si>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</si>
  <si>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</si>
  <si>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</si>
  <si>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</si>
  <si>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</si>
  <si>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</si>
  <si>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</si>
  <si>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</si>
  <si>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</si>
  <si>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</si>
  <si>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</si>
  <si>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</si>
  <si>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</si>
  <si>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</si>
  <si>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</si>
  <si>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</si>
  <si>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</si>
  <si>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</si>
  <si>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</si>
  <si>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</si>
  <si>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</si>
  <si>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</si>
  <si>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</si>
  <si>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</si>
  <si>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</si>
  <si>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</si>
  <si>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</si>
  <si>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</si>
  <si>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</si>
  <si>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</si>
  <si>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</si>
  <si>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</si>
  <si>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</si>
  <si>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</si>
  <si>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</si>
  <si>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</si>
  <si>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</si>
  <si>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</si>
  <si>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</si>
  <si>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</si>
  <si>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</si>
  <si>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</si>
  <si>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</si>
  <si>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</si>
  <si>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</si>
  <si>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</si>
  <si>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</si>
  <si>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</si>
  <si>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</si>
  <si>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</si>
  <si>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</si>
  <si>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</si>
  <si>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</si>
  <si>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</si>
  <si>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</si>
  <si>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</si>
  <si>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</si>
  <si>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</si>
  <si>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</si>
  <si>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</si>
  <si>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</si>
  <si>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</si>
  <si>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</si>
  <si>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</si>
  <si>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</si>
  <si>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</si>
  <si>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</si>
  <si>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</si>
  <si>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</si>
  <si>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</si>
  <si>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</si>
  <si>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</si>
  <si>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</si>
  <si>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</si>
  <si>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</si>
  <si>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</si>
  <si>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</si>
  <si>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</si>
  <si>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</si>
  <si>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</si>
  <si>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</si>
  <si>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</si>
  <si>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</si>
  <si>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</si>
  <si>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</si>
  <si>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</si>
  <si>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</si>
  <si>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</si>
  <si>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</si>
  <si>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</si>
  <si>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</si>
  <si>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</si>
  <si>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</si>
  <si>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</si>
  <si>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</si>
  <si>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</si>
  <si>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</si>
  <si>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</si>
  <si>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</si>
  <si>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</si>
  <si>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</si>
  <si>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</si>
  <si>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</si>
  <si>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</si>
  <si>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</si>
  <si>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</si>
  <si>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</si>
  <si>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</si>
  <si>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</si>
  <si>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</si>
  <si>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</si>
  <si>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</si>
  <si>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</si>
  <si>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</si>
  <si>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</si>
  <si>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</si>
  <si>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</si>
  <si>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</si>
  <si>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</si>
  <si>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</si>
  <si>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</si>
  <si>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</si>
  <si>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</si>
  <si>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</si>
  <si>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</si>
  <si>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</si>
  <si>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</si>
  <si>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</si>
  <si>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</si>
  <si>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</si>
  <si>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</si>
  <si>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</si>
  <si>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</si>
  <si>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</si>
  <si>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</si>
  <si>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</si>
  <si>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</si>
  <si>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</si>
  <si>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</si>
  <si>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</si>
  <si>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</si>
  <si>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</si>
  <si>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</si>
  <si>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</si>
  <si>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</si>
  <si>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</si>
  <si>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</si>
  <si>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</si>
  <si>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</si>
  <si>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</si>
  <si>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</si>
  <si>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</si>
  <si>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</si>
  <si>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</si>
  <si>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</si>
  <si>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</si>
  <si>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</si>
  <si>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</si>
  <si>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</si>
  <si>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</si>
  <si>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</si>
  <si>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</si>
  <si>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</si>
  <si>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</si>
  <si>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</si>
  <si>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</si>
  <si>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</si>
  <si>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</si>
  <si>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</si>
  <si>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</si>
  <si>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</si>
  <si>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</si>
  <si>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</si>
  <si>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</si>
  <si>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</si>
  <si>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</si>
  <si>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</si>
  <si>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</si>
  <si>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</si>
  <si>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</si>
  <si>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</si>
  <si>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</si>
  <si>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</si>
  <si>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</si>
  <si>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</si>
  <si>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</si>
  <si>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</si>
  <si>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</si>
  <si>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</si>
  <si>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</si>
  <si>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</si>
  <si>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</si>
  <si>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</si>
  <si>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</si>
  <si>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</si>
  <si>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</si>
  <si>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</si>
  <si>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</si>
  <si>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</si>
  <si>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</si>
  <si>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</si>
  <si>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</si>
  <si>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</si>
  <si>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</si>
  <si>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</si>
  <si>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</si>
  <si>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</si>
  <si>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</si>
  <si>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</si>
  <si>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</si>
  <si>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</si>
  <si>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</si>
  <si>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</si>
  <si>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</si>
  <si>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</si>
  <si>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</si>
  <si>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</si>
  <si>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</si>
  <si>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</si>
  <si>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</si>
  <si>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</si>
  <si>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</si>
  <si>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</si>
  <si>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</si>
  <si>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</si>
  <si>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</si>
  <si>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</si>
  <si>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</si>
  <si>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</si>
  <si>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</si>
  <si>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</si>
  <si>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</si>
  <si>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</si>
  <si>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</si>
  <si>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</si>
  <si>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</si>
  <si>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</si>
  <si>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</si>
  <si>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</si>
  <si>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</si>
  <si>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</si>
  <si>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</si>
  <si>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</si>
  <si>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</si>
  <si>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</si>
  <si>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</si>
  <si>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</si>
  <si>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</si>
  <si>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</si>
  <si>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</si>
  <si>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</si>
  <si>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</si>
  <si>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</si>
  <si>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</si>
  <si>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</si>
  <si>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</si>
  <si>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</si>
  <si>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</si>
  <si>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</si>
  <si>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</si>
  <si>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</si>
  <si>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</si>
  <si>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</si>
  <si>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</si>
  <si>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</si>
  <si>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</si>
  <si>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</si>
  <si>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</si>
  <si>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</si>
  <si>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</si>
  <si>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</si>
  <si>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</si>
  <si>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</si>
  <si>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</si>
  <si>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</si>
  <si>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</si>
  <si>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</si>
  <si>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</si>
  <si>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</si>
  <si>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</si>
  <si>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</si>
  <si>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</si>
  <si>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</si>
  <si>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</si>
  <si>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</si>
  <si>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</si>
  <si>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</si>
  <si>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</si>
  <si>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</si>
  <si>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</si>
  <si>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</si>
  <si>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</si>
  <si>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</si>
  <si>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</si>
  <si>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</si>
  <si>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</si>
  <si>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</si>
  <si>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</si>
  <si>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</si>
  <si>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</si>
  <si>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</si>
  <si>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</si>
  <si>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</si>
  <si>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</si>
  <si>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</si>
  <si>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</si>
  <si>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</si>
  <si>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</si>
  <si>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</si>
  <si>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</si>
  <si>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</si>
  <si>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</si>
  <si>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</si>
  <si>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</si>
  <si>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</si>
  <si>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</si>
  <si>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</si>
  <si>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</si>
  <si>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</si>
  <si>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</si>
  <si>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</si>
  <si>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</si>
  <si>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</si>
  <si>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</si>
  <si>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</si>
  <si>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</si>
  <si>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</si>
  <si>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</si>
  <si>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</si>
  <si>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</si>
  <si>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</si>
  <si>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</si>
  <si>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</si>
  <si>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</si>
  <si>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</si>
  <si>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</si>
  <si>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</si>
  <si>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</si>
  <si>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</si>
  <si>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</si>
  <si>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</si>
  <si>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</si>
  <si>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</si>
  <si>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</si>
  <si>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</si>
  <si>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</si>
  <si>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</si>
  <si>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</si>
  <si>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</si>
  <si>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</si>
  <si>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</si>
  <si>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</si>
  <si>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</si>
  <si>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</si>
  <si>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</si>
  <si>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</si>
  <si>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</si>
  <si>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</si>
  <si>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</si>
  <si>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</si>
  <si>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</si>
  <si>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</si>
  <si>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</si>
  <si>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</si>
  <si>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</si>
  <si>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</si>
  <si>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</si>
  <si>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</si>
  <si>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</si>
  <si>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</si>
  <si>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</si>
  <si>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</si>
  <si>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</si>
  <si>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</si>
  <si>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</si>
  <si>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</si>
  <si>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</si>
  <si>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</si>
  <si>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</si>
  <si>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</si>
  <si>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</si>
  <si>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</si>
  <si>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</si>
  <si>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</si>
  <si>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</si>
  <si>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</si>
  <si>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</si>
  <si>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</si>
  <si>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</si>
  <si>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</si>
  <si>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</si>
  <si>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</si>
  <si>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</si>
  <si>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</si>
  <si>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</si>
  <si>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</si>
  <si>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</si>
  <si>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</si>
  <si>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</si>
  <si>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</si>
  <si>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</si>
  <si>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</si>
  <si>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</si>
  <si>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</si>
  <si>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</si>
  <si>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</si>
  <si>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</si>
  <si>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</si>
  <si>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</si>
  <si>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</si>
  <si>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</si>
  <si>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</si>
  <si>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</si>
  <si>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</si>
  <si>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</si>
  <si>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</si>
  <si>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</si>
  <si>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</si>
  <si>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</si>
  <si>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</si>
  <si>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</si>
  <si>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</si>
  <si>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</si>
  <si>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</si>
  <si>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</si>
  <si>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</si>
  <si>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</si>
  <si>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</si>
  <si>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</si>
  <si>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</si>
  <si>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</si>
  <si>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</si>
  <si>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</si>
  <si>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</si>
  <si>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</si>
  <si>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</si>
  <si>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</si>
  <si>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</si>
  <si>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</si>
  <si>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</si>
  <si>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</si>
  <si>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</si>
  <si>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</si>
  <si>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</si>
  <si>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</si>
  <si>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</si>
  <si>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</si>
  <si>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</si>
  <si>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</si>
  <si>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</si>
  <si>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</si>
  <si>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</si>
  <si>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</si>
  <si>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</si>
  <si>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</si>
  <si>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</si>
  <si>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</si>
  <si>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</si>
  <si>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</si>
  <si>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</si>
  <si>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</si>
  <si>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</si>
  <si>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</si>
  <si>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</si>
  <si>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</si>
  <si>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</si>
  <si>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</si>
  <si>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</si>
  <si>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</si>
  <si>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</si>
  <si>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</si>
  <si>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</si>
  <si>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</si>
  <si>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</si>
  <si>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</si>
  <si>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</si>
  <si>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</si>
  <si>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</si>
  <si>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</si>
  <si>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</si>
  <si>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</si>
  <si>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</si>
  <si>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</si>
  <si>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</si>
  <si>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</si>
  <si>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</si>
  <si>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</si>
  <si>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</si>
  <si>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</si>
  <si>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</si>
  <si>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</si>
  <si>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</si>
  <si>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</si>
  <si>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</si>
  <si>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</si>
  <si>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</si>
  <si>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</si>
  <si>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</si>
  <si>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</si>
  <si>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</si>
  <si>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</si>
  <si>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</si>
  <si>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</si>
  <si>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</si>
  <si>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</si>
  <si>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</si>
  <si>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</si>
  <si>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</si>
  <si>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</si>
  <si>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</si>
  <si>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</si>
  <si>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</si>
  <si>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</si>
  <si>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</si>
  <si>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</si>
  <si>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</si>
  <si>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</si>
  <si>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</si>
  <si>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</si>
  <si>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</si>
  <si>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</si>
  <si>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</si>
  <si>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</si>
  <si>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</si>
  <si>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</si>
  <si>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</si>
  <si>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</si>
  <si>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</si>
  <si>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</si>
  <si>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</si>
  <si>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</si>
  <si>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</si>
  <si>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</si>
  <si>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</si>
  <si>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</si>
  <si>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</si>
  <si>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</si>
  <si>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</si>
  <si>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</si>
  <si>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</si>
  <si>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</si>
  <si>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</si>
  <si>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</si>
  <si>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</si>
  <si>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</si>
  <si>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</si>
  <si>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</si>
  <si>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</si>
  <si>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</si>
  <si>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</si>
  <si>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</si>
  <si>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</si>
  <si>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</si>
  <si>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</si>
  <si>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</si>
  <si>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</si>
  <si>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</si>
  <si>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</si>
  <si>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</si>
  <si>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</si>
  <si>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</si>
  <si>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</si>
  <si>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</si>
  <si>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</si>
  <si>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</si>
  <si>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</si>
  <si>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</si>
  <si>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</si>
  <si>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</si>
  <si>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</si>
  <si>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</si>
  <si>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</si>
  <si>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</si>
  <si>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</si>
  <si>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</si>
  <si>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</si>
  <si>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</si>
  <si>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</si>
  <si>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</si>
  <si>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</si>
  <si>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</si>
  <si>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</si>
  <si>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</si>
  <si>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</si>
  <si>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</si>
  <si>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</si>
  <si>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</si>
  <si>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</si>
  <si>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</si>
  <si>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</si>
  <si>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</si>
  <si>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</si>
  <si>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</si>
  <si>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</si>
  <si>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</si>
  <si>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</si>
  <si>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</si>
  <si>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</si>
  <si>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</si>
  <si>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</si>
  <si>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</si>
  <si>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</si>
  <si>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</si>
  <si>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</si>
  <si>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</si>
  <si>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</si>
  <si>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</si>
  <si>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</si>
  <si>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</si>
  <si>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</si>
  <si>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</si>
  <si>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</si>
  <si>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</si>
  <si>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</si>
  <si>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</si>
  <si>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</si>
  <si>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</si>
  <si>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</si>
  <si>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</si>
  <si>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</si>
  <si>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</si>
  <si>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</si>
  <si>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</si>
  <si>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</si>
  <si>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</si>
  <si>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</si>
  <si>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</si>
  <si>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</si>
  <si>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</si>
  <si>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</si>
  <si>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</si>
  <si>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</si>
  <si>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</si>
  <si>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</si>
  <si>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</si>
  <si>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</si>
  <si>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</si>
  <si>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</si>
  <si>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</si>
  <si>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</si>
  <si>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</si>
  <si>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</si>
  <si>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</si>
  <si>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</si>
  <si>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</si>
  <si>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</si>
  <si>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</si>
  <si>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</si>
  <si>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</si>
  <si>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</si>
  <si>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</si>
  <si>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</si>
  <si>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</si>
  <si>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</si>
  <si>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</si>
  <si>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</si>
  <si>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</si>
  <si>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</si>
  <si>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</si>
  <si>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</si>
  <si>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</si>
  <si>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</si>
  <si>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</si>
  <si>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</si>
  <si>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</si>
  <si>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</si>
  <si>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</si>
  <si>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</si>
  <si>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</si>
  <si>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</si>
  <si>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</si>
  <si>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</si>
  <si>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</si>
  <si>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</si>
  <si>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</si>
  <si>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</si>
  <si>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</si>
  <si>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</si>
  <si>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</si>
  <si>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</si>
  <si>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</si>
  <si>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</si>
  <si>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</si>
  <si>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</si>
  <si>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</si>
  <si>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</si>
  <si>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</si>
  <si>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</si>
  <si>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</si>
  <si>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</si>
  <si>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</si>
  <si>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</si>
  <si>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</si>
  <si>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</si>
  <si>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</si>
  <si>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</si>
  <si>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</si>
  <si>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</si>
  <si>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</si>
  <si>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</si>
  <si>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</si>
  <si>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</si>
  <si>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</si>
  <si>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</si>
  <si>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</si>
  <si>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</si>
  <si>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</si>
  <si>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</si>
  <si>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</si>
  <si>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</si>
  <si>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</si>
  <si>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</si>
  <si>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</si>
  <si>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</si>
  <si>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</si>
  <si>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</si>
  <si>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</si>
  <si>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</si>
  <si>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</si>
  <si>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</si>
  <si>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</si>
  <si>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</si>
  <si>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</si>
  <si>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</si>
  <si>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</si>
  <si>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</si>
  <si>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</si>
  <si>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</si>
  <si>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</si>
  <si>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</si>
  <si>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</si>
  <si>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</si>
  <si>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</si>
  <si>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</si>
  <si>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</si>
  <si>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</si>
  <si>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</si>
  <si>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</si>
  <si>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</si>
  <si>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</si>
  <si>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</si>
  <si>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</si>
  <si>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</si>
  <si>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</si>
  <si>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</si>
  <si>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</si>
  <si>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</si>
  <si>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</si>
  <si>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</si>
  <si>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</si>
  <si>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</si>
  <si>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</si>
  <si>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</si>
  <si>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</si>
  <si>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</si>
  <si>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</si>
  <si>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</si>
  <si>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</si>
  <si>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</si>
  <si>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</si>
  <si>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</si>
  <si>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</si>
  <si>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</si>
  <si>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</si>
  <si>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</si>
  <si>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</si>
  <si>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</si>
  <si>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</si>
  <si>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</si>
  <si>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</si>
  <si>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</si>
  <si>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</si>
  <si>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</si>
  <si>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</si>
  <si>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</si>
  <si>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</si>
  <si>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</si>
  <si>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</si>
  <si>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</si>
  <si>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</si>
  <si>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</si>
  <si>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</si>
  <si>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</si>
  <si>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</si>
  <si>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</si>
  <si>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</si>
  <si>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</si>
  <si>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</si>
  <si>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</si>
  <si>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</si>
  <si>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</si>
  <si>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</si>
  <si>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</si>
  <si>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</si>
  <si>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</si>
  <si>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</si>
  <si>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</si>
  <si>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</si>
  <si>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</si>
  <si>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</si>
  <si>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</si>
  <si>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</si>
  <si>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</si>
  <si>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</si>
  <si>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</si>
  <si>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</si>
  <si>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</si>
  <si>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</si>
  <si>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</si>
  <si>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</si>
  <si>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</si>
  <si>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</si>
  <si>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</si>
  <si>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</si>
  <si>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</si>
  <si>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</si>
  <si>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</si>
  <si>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</si>
  <si>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</si>
  <si>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</si>
  <si>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</si>
  <si>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</si>
  <si>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</si>
  <si>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</si>
  <si>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</si>
  <si>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</si>
  <si>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</si>
  <si>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</si>
  <si>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</si>
  <si>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</si>
  <si>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</si>
  <si>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</si>
  <si>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</si>
  <si>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</si>
  <si>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</si>
  <si>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</si>
  <si>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</si>
  <si>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</si>
  <si>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</si>
  <si>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</si>
  <si>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</si>
  <si>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</si>
  <si>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</si>
  <si>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</si>
  <si>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</si>
  <si>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</si>
  <si>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</si>
  <si>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</si>
  <si>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</si>
  <si>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</si>
  <si>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</si>
  <si>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</si>
  <si>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</si>
  <si>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</si>
  <si>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</si>
  <si>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</si>
  <si>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</si>
  <si>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</si>
  <si>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</si>
  <si>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</si>
  <si>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</si>
  <si>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</si>
  <si>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</si>
  <si>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</si>
  <si>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</si>
  <si>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</si>
  <si>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</si>
  <si>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</si>
  <si>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</si>
  <si>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</si>
  <si>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</si>
  <si>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</si>
  <si>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</si>
  <si>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</si>
  <si>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</si>
  <si>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</si>
  <si>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</si>
  <si>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</si>
  <si>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</si>
  <si>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</si>
  <si>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</si>
  <si>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</si>
  <si>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</si>
  <si>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</si>
  <si>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</si>
  <si>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</si>
  <si>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</si>
  <si>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</si>
  <si>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</si>
  <si>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</si>
  <si>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</si>
  <si>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</si>
  <si>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</si>
  <si>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</si>
  <si>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</si>
  <si>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</si>
  <si>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</si>
  <si>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</si>
  <si>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</si>
  <si>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</si>
  <si>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</si>
  <si>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</si>
  <si>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</si>
  <si>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</si>
  <si>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</si>
  <si>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</si>
  <si>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</si>
  <si>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</si>
  <si>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</si>
  <si>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</si>
  <si>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</si>
  <si>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</si>
  <si>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</si>
  <si>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</si>
  <si>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</si>
  <si>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</si>
  <si>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</si>
  <si>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</si>
  <si>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</si>
  <si>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</si>
  <si>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</si>
  <si>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</si>
  <si>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</si>
  <si>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</si>
  <si>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</si>
  <si>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</si>
  <si>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</si>
  <si>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</si>
  <si>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</si>
  <si>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</si>
  <si>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</si>
  <si>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</si>
  <si>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</si>
  <si>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</si>
  <si>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</si>
  <si>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</si>
  <si>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</si>
  <si>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</si>
  <si>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</si>
  <si>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</si>
  <si>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</si>
  <si>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</si>
  <si>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</si>
  <si>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</si>
  <si>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</si>
  <si>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</si>
  <si>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</si>
  <si>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</si>
  <si>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</si>
  <si>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</si>
  <si>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</si>
  <si>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</si>
  <si>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</si>
  <si>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</si>
  <si>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</si>
  <si>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</si>
  <si>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</si>
  <si>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</si>
  <si>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</si>
  <si>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</si>
  <si>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</si>
  <si>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</si>
  <si>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</si>
  <si>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</si>
  <si>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</si>
  <si>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</si>
  <si>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</si>
  <si>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</si>
  <si>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</si>
  <si>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</si>
  <si>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</si>
  <si>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</si>
  <si>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</si>
  <si>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</si>
  <si>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</si>
  <si>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</si>
  <si>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</si>
  <si>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</si>
  <si>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</si>
  <si>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</si>
  <si>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</si>
  <si>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</si>
  <si>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</si>
  <si>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</si>
  <si>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</si>
  <si>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</si>
  <si>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</si>
  <si>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</si>
  <si>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</si>
  <si>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</si>
  <si>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</si>
  <si>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</si>
  <si>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</si>
  <si>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</si>
  <si>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</si>
  <si>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</si>
  <si>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</si>
  <si>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</si>
  <si>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</si>
  <si>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</si>
  <si>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</si>
  <si>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</si>
  <si>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</si>
  <si>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</si>
  <si>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</si>
  <si>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</si>
  <si>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</si>
  <si>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</si>
  <si>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</si>
  <si>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</si>
  <si>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</si>
  <si>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</si>
  <si>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</si>
  <si>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</si>
  <si>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</si>
  <si>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</si>
  <si>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</si>
  <si>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</si>
  <si>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</si>
  <si>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</si>
  <si>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</si>
  <si>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</si>
  <si>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</si>
  <si>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</si>
  <si>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</si>
  <si>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</si>
  <si>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</si>
  <si>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</si>
  <si>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</si>
  <si>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</si>
  <si>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</si>
  <si>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</si>
  <si>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</si>
  <si>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</si>
  <si>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</si>
  <si>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</si>
  <si>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</si>
  <si>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</si>
  <si>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</si>
  <si>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</si>
  <si>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</si>
  <si>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</si>
  <si>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</si>
  <si>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</si>
  <si>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</si>
  <si>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</si>
  <si>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</si>
  <si>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</si>
  <si>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</si>
  <si>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</si>
  <si>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</si>
  <si>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</si>
  <si>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</si>
  <si>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</si>
  <si>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</si>
  <si>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</si>
  <si>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</si>
  <si>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</si>
  <si>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</si>
  <si>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</si>
  <si>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</si>
  <si>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</si>
  <si>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</si>
  <si>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</si>
  <si>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</si>
  <si>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</si>
  <si>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</si>
  <si>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</si>
  <si>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</si>
  <si>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</si>
  <si>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</si>
  <si>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</si>
  <si>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</si>
  <si>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</si>
  <si>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</si>
  <si>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</si>
  <si>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</si>
  <si>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</si>
  <si>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</si>
  <si>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</si>
  <si>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</si>
  <si>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</si>
  <si>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</si>
  <si>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</si>
  <si>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</si>
  <si>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</si>
  <si>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</si>
  <si>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</si>
  <si>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</si>
  <si>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</si>
  <si>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</si>
  <si>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</si>
  <si>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</si>
  <si>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</si>
  <si>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</si>
  <si>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</si>
  <si>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</si>
  <si>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</si>
  <si>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</si>
  <si>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</si>
  <si>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</si>
  <si>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</si>
  <si>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</si>
  <si>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</si>
  <si>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</si>
  <si>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</si>
  <si>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</si>
  <si>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</si>
  <si>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</si>
  <si>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</si>
  <si>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</si>
  <si>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</si>
  <si>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</si>
  <si>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</si>
  <si>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</si>
  <si>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</si>
  <si>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</si>
  <si>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</si>
  <si>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</si>
  <si>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</si>
  <si>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</si>
  <si>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</si>
  <si>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</si>
  <si>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</si>
  <si>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</si>
  <si>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</si>
  <si>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</si>
  <si>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</si>
  <si>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</si>
  <si>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</si>
  <si>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</si>
  <si>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</si>
  <si>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</si>
  <si>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</si>
  <si>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</si>
  <si>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</si>
  <si>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</si>
  <si>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</si>
  <si>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</si>
  <si>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</si>
  <si>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</si>
  <si>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</si>
  <si>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</si>
  <si>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</si>
  <si>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</si>
  <si>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</si>
  <si>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</si>
  <si>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</si>
  <si>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</si>
  <si>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</si>
  <si>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</si>
  <si>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</si>
  <si>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</si>
  <si>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</si>
  <si>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</si>
  <si>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</si>
  <si>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</si>
  <si>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</si>
  <si>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</si>
  <si>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</si>
  <si>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</si>
  <si>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</si>
  <si>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</si>
  <si>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</si>
  <si>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</si>
  <si>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</si>
  <si>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</si>
  <si>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</si>
  <si>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</si>
  <si>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</si>
  <si>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</si>
  <si>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</si>
  <si>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</si>
  <si>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</si>
  <si>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</si>
  <si>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</si>
  <si>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</si>
  <si>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</si>
  <si>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</si>
  <si>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</si>
  <si>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</si>
  <si>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</si>
  <si>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</si>
  <si>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</si>
  <si>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</si>
  <si>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</si>
  <si>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</si>
  <si>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</si>
  <si>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</si>
  <si>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</si>
  <si>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</si>
  <si>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</si>
  <si>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</si>
  <si>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</si>
  <si>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</si>
  <si>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</si>
  <si>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</si>
  <si>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</si>
  <si>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</si>
  <si>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</si>
  <si>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</si>
  <si>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</si>
  <si>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</si>
  <si>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</si>
  <si>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</si>
  <si>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</si>
  <si>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</si>
  <si>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</si>
  <si>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</si>
  <si>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</si>
  <si>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</si>
  <si>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</si>
  <si>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</si>
  <si>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</si>
  <si>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</si>
  <si>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</si>
  <si>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</si>
  <si>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</si>
  <si>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</si>
  <si>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</si>
  <si>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</si>
  <si>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</si>
  <si>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</si>
  <si>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</si>
  <si>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</si>
  <si>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</si>
  <si>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</si>
  <si>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</si>
  <si>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</si>
  <si>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</si>
  <si>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</si>
  <si>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</si>
  <si>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</si>
  <si>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</si>
  <si>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</si>
  <si>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</si>
  <si>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</si>
  <si>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</si>
  <si>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</si>
  <si>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</si>
  <si>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</si>
  <si>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</si>
  <si>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</si>
  <si>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</si>
  <si>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</si>
  <si>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</si>
  <si>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</si>
  <si>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</si>
  <si>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</si>
  <si>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</si>
  <si>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</si>
  <si>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</si>
  <si>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</si>
  <si>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</si>
  <si>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</si>
  <si>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</si>
  <si>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</si>
  <si>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</si>
  <si>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</si>
  <si>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</si>
  <si>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</si>
  <si>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</si>
  <si>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</si>
  <si>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</si>
  <si>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</si>
  <si>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</si>
  <si>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</si>
  <si>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</si>
  <si>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</si>
  <si>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</si>
  <si>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</si>
  <si>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</si>
  <si>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</si>
  <si>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</si>
  <si>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</si>
  <si>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</si>
  <si>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</si>
  <si>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</si>
  <si>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</si>
  <si>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</si>
  <si>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</si>
  <si>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</si>
  <si>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</si>
  <si>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</si>
  <si>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</si>
  <si>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</si>
  <si>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</si>
  <si>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</si>
  <si>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</si>
  <si>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</si>
  <si>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</si>
  <si>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</si>
  <si>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</si>
  <si>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</si>
  <si>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</si>
  <si>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</si>
  <si>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</si>
  <si>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</si>
  <si>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</si>
  <si>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</si>
  <si>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</si>
  <si>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</si>
  <si>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</si>
  <si>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</si>
  <si>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</si>
  <si>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</si>
  <si>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</si>
  <si>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</si>
  <si>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</si>
  <si>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</si>
  <si>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</si>
  <si>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</si>
  <si>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</si>
  <si>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</si>
  <si>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</si>
  <si>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</si>
  <si>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</si>
  <si>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</si>
  <si>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</si>
  <si>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</si>
  <si>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</si>
  <si>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</si>
  <si>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</si>
  <si>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</si>
  <si>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</si>
  <si>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</si>
  <si>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</si>
  <si>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</si>
  <si>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</si>
  <si>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</si>
  <si>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</si>
  <si>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</si>
  <si>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</si>
  <si>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</si>
  <si>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</si>
  <si>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</si>
  <si>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</si>
  <si>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</si>
  <si>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</si>
  <si>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</si>
  <si>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</si>
  <si>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</si>
  <si>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</si>
  <si>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</si>
  <si>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</si>
  <si>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</si>
  <si>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</si>
  <si>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</si>
  <si>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</si>
  <si>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</si>
  <si>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</si>
  <si>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</si>
  <si>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</si>
  <si>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</si>
  <si>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</si>
  <si>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</si>
  <si>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</si>
  <si>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</si>
  <si>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</si>
  <si>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</si>
  <si>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</si>
  <si>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</si>
  <si>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</si>
  <si>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</si>
  <si>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</si>
  <si>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</si>
  <si>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</si>
  <si>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</si>
  <si>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</si>
  <si>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</si>
  <si>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</si>
  <si>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</si>
  <si>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</si>
  <si>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</si>
  <si>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</si>
  <si>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</si>
  <si>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</si>
  <si>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</si>
  <si>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</si>
  <si>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</si>
  <si>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</si>
  <si>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</si>
  <si>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</si>
  <si>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</si>
  <si>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</si>
  <si>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</si>
  <si>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</si>
  <si>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</si>
  <si>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</si>
  <si>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</si>
  <si>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</si>
  <si>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</si>
  <si>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</si>
  <si>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</si>
  <si>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</si>
  <si>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</si>
  <si>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</si>
  <si>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</si>
  <si>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</si>
  <si>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</si>
  <si>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</si>
  <si>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</si>
  <si>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</si>
  <si>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</si>
  <si>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</si>
  <si>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</si>
  <si>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</si>
  <si>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</si>
  <si>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</si>
  <si>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</si>
  <si>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</si>
  <si>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</si>
  <si>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</si>
  <si>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</si>
  <si>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</si>
  <si>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</si>
  <si>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</si>
  <si>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</si>
  <si>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</si>
  <si>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</si>
  <si>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</si>
  <si>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</si>
  <si>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</si>
  <si>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</si>
  <si>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</si>
  <si>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</si>
  <si>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</si>
  <si>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</si>
  <si>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</si>
  <si>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</si>
  <si>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</si>
  <si>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</si>
  <si>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</si>
  <si>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</si>
  <si>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</si>
  <si>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</si>
  <si>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</si>
  <si>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</si>
  <si>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</si>
  <si>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</si>
  <si>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</si>
  <si>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</si>
  <si>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</si>
  <si>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</si>
  <si>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</si>
  <si>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</si>
  <si>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</si>
  <si>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</si>
  <si>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</si>
  <si>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</si>
  <si>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</si>
  <si>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</si>
  <si>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</si>
  <si>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</si>
  <si>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</si>
  <si>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</si>
  <si>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</si>
  <si>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</si>
  <si>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</si>
  <si>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</si>
  <si>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</si>
  <si>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</si>
  <si>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</si>
  <si>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</si>
  <si>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</si>
  <si>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</si>
  <si>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</si>
  <si>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</si>
  <si>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</si>
  <si>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</si>
  <si>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</si>
  <si>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</si>
  <si>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</si>
  <si>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</si>
  <si>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</si>
  <si>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</si>
  <si>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</si>
  <si>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</si>
  <si>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</si>
  <si>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</si>
  <si>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</si>
  <si>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</si>
  <si>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</si>
  <si>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</si>
  <si>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</si>
  <si>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</si>
  <si>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</si>
  <si>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</si>
  <si>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</si>
  <si>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</si>
  <si>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</si>
  <si>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</si>
  <si>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</si>
  <si>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</si>
  <si>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</si>
  <si>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</si>
  <si>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</si>
  <si>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</si>
  <si>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</si>
  <si>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</si>
  <si>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</si>
  <si>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</si>
  <si>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</si>
  <si>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</si>
  <si>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</si>
  <si>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</si>
  <si>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</si>
  <si>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</si>
  <si>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</si>
  <si>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</si>
  <si>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</si>
  <si>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</si>
  <si>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</si>
  <si>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</si>
  <si>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</si>
  <si>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</si>
  <si>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</si>
  <si>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</si>
  <si>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</si>
  <si>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</si>
  <si>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</si>
  <si>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</si>
  <si>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</si>
  <si>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</si>
  <si>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</si>
  <si>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</si>
  <si>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</si>
  <si>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</si>
  <si>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</si>
  <si>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</si>
  <si>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</si>
  <si>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</si>
  <si>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</si>
  <si>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</si>
  <si>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</si>
  <si>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</si>
  <si>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</si>
  <si>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</si>
  <si>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</si>
  <si>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</si>
  <si>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</si>
  <si>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</si>
  <si>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</si>
  <si>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</si>
  <si>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</si>
  <si>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</si>
  <si>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</si>
  <si>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</si>
  <si>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</si>
  <si>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</si>
  <si>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</si>
  <si>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</si>
  <si>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</si>
  <si>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</si>
  <si>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</si>
  <si>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</si>
  <si>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</si>
  <si>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</si>
  <si>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</si>
  <si>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</si>
  <si>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</si>
  <si>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</si>
  <si>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</si>
  <si>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</si>
  <si>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</si>
  <si>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</si>
  <si>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</si>
  <si>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</si>
  <si>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</si>
  <si>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</si>
  <si>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</si>
  <si>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</si>
  <si>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</si>
  <si>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</si>
  <si>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</si>
  <si>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</si>
  <si>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</si>
  <si>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</si>
  <si>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</si>
  <si>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</si>
  <si>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</si>
  <si>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</si>
  <si>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</si>
  <si>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</si>
  <si>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</si>
  <si>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</si>
  <si>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</si>
  <si>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</si>
  <si>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</si>
  <si>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</si>
  <si>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</si>
  <si>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</si>
  <si>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</si>
  <si>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</si>
  <si>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</si>
  <si>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</si>
  <si>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</si>
  <si>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</si>
  <si>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</si>
  <si>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</si>
  <si>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</si>
  <si>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</si>
  <si>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</si>
  <si>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</si>
  <si>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</si>
  <si>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</si>
  <si>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</si>
  <si>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</si>
  <si>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</si>
  <si>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</si>
  <si>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</si>
  <si>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</si>
  <si>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</si>
  <si>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</si>
  <si>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</si>
  <si>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</si>
  <si>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</si>
  <si>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</si>
  <si>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</si>
  <si>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</si>
  <si>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</si>
  <si>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</si>
  <si>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</si>
  <si>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</si>
  <si>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</si>
  <si>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</si>
  <si>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</si>
  <si>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</si>
  <si>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</si>
  <si>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</si>
  <si>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</si>
  <si>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</si>
  <si>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</si>
  <si>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</si>
  <si>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</si>
  <si>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</si>
  <si>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</si>
  <si>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</si>
  <si>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</si>
  <si>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</si>
  <si>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</si>
  <si>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</si>
  <si>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</si>
  <si>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</si>
  <si>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</si>
  <si>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</si>
  <si>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</si>
  <si>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</si>
  <si>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</si>
  <si>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</si>
  <si>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</si>
  <si>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</si>
  <si>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</si>
  <si>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</si>
  <si>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</si>
  <si>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</si>
  <si>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</si>
  <si>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</si>
  <si>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</si>
  <si>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</si>
  <si>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</si>
  <si>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</si>
  <si>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</si>
  <si>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</si>
  <si>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</si>
  <si>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</si>
  <si>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</si>
  <si>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</si>
  <si>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</si>
  <si>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</si>
  <si>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</si>
  <si>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</si>
  <si>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</si>
  <si>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</si>
  <si>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</si>
  <si>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</si>
  <si>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</si>
  <si>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</si>
  <si>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</si>
  <si>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</si>
  <si>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</si>
  <si>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</si>
  <si>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</si>
  <si>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</si>
  <si>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</si>
  <si>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</si>
  <si>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</si>
  <si>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</si>
  <si>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</si>
  <si>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</si>
  <si>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</si>
  <si>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</si>
  <si>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</si>
  <si>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</si>
  <si>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</si>
  <si>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</si>
  <si>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</si>
  <si>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</si>
  <si>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</si>
  <si>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</si>
  <si>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</si>
  <si>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</si>
  <si>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</si>
  <si>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</si>
  <si>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</si>
  <si>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</si>
  <si>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</si>
  <si>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</si>
  <si>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</si>
  <si>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</si>
  <si>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</si>
  <si>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</si>
  <si>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</si>
  <si>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</si>
  <si>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</si>
  <si>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</si>
  <si>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</si>
  <si>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</si>
  <si>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</si>
  <si>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</si>
  <si>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</si>
  <si>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</si>
  <si>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</si>
  <si>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</si>
  <si>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</si>
  <si>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</si>
  <si>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</si>
  <si>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</si>
  <si>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</si>
  <si>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</si>
  <si>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</si>
  <si>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</si>
  <si>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</si>
  <si>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</si>
  <si>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</si>
  <si>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</si>
  <si>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</si>
  <si>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</si>
  <si>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</si>
  <si>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</si>
  <si>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</si>
  <si>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</si>
  <si>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</si>
  <si>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</si>
  <si>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</si>
  <si>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</si>
  <si>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</si>
  <si>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</si>
  <si>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</si>
  <si>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</si>
  <si>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</si>
  <si>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</si>
  <si>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</si>
  <si>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</si>
  <si>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</si>
  <si>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</si>
  <si>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</si>
  <si>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</si>
  <si>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</si>
  <si>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</si>
  <si>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</si>
  <si>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</si>
  <si>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</si>
  <si>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</si>
  <si>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</si>
  <si>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</si>
  <si>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</si>
  <si>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</si>
  <si>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</si>
  <si>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</si>
  <si>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</si>
  <si>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</si>
  <si>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</si>
  <si>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</si>
  <si>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</si>
  <si>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</si>
  <si>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</si>
  <si>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</si>
  <si>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</si>
  <si>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</si>
  <si>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</si>
  <si>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</si>
  <si>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</si>
  <si>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</si>
  <si>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</si>
  <si>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</si>
  <si>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</si>
  <si>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</si>
  <si>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</si>
  <si>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</si>
  <si>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</si>
  <si>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</si>
  <si>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</si>
  <si>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</si>
  <si>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</si>
  <si>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</si>
  <si>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</si>
  <si>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</si>
  <si>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</si>
  <si>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</si>
  <si>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</si>
  <si>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</si>
  <si>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</si>
  <si>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</si>
  <si>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</si>
  <si>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</si>
  <si>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</si>
  <si>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</si>
  <si>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</si>
  <si>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</si>
  <si>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</si>
  <si>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</si>
  <si>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</si>
  <si>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</si>
  <si>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</si>
  <si>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</si>
  <si>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</si>
  <si>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</si>
  <si>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</si>
  <si>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</si>
  <si>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</si>
  <si>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</si>
  <si>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</si>
  <si>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</si>
  <si>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</si>
  <si>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</si>
  <si>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</si>
  <si>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</si>
  <si>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</si>
  <si>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</si>
  <si>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</si>
  <si>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</si>
  <si>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</si>
  <si>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</si>
  <si>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</si>
  <si>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</si>
  <si>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</si>
  <si>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</si>
  <si>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</si>
  <si>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</si>
  <si>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</si>
  <si>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</si>
  <si>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</si>
  <si>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</si>
  <si>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</si>
  <si>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</si>
  <si>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</si>
  <si>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</si>
  <si>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</si>
  <si>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</si>
  <si>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</si>
  <si>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</si>
  <si>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</si>
  <si>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</si>
  <si>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</si>
  <si>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</si>
  <si>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</si>
  <si>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</si>
  <si>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</si>
  <si>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</si>
  <si>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</si>
  <si>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</si>
  <si>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</si>
  <si>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</si>
  <si>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</si>
  <si>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</si>
  <si>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</si>
  <si>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</si>
  <si>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</si>
  <si>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</si>
  <si>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</si>
  <si>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</si>
  <si>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</si>
  <si>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</si>
  <si>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</si>
  <si>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</si>
  <si>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</si>
  <si>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</si>
  <si>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</si>
  <si>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</si>
  <si>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</si>
  <si>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</si>
  <si>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</si>
  <si>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</si>
  <si>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</si>
  <si>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</si>
  <si>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</si>
  <si>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</si>
  <si>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</si>
  <si>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</si>
  <si>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</si>
  <si>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</si>
  <si>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</si>
  <si>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</si>
  <si>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</si>
  <si>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</si>
  <si>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</si>
  <si>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</si>
  <si>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</si>
  <si>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</si>
  <si>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</si>
  <si>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</si>
  <si>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</si>
  <si>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</si>
  <si>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</si>
  <si>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</si>
  <si>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</si>
  <si>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</si>
  <si>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</si>
  <si>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</si>
  <si>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</si>
  <si>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</si>
  <si>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</si>
  <si>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</si>
  <si>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</si>
  <si>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</si>
  <si>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</si>
  <si>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</si>
  <si>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</si>
  <si>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</si>
  <si>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</si>
  <si>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</si>
  <si>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</si>
  <si>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</si>
  <si>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</si>
  <si>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</si>
  <si>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</si>
  <si>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</si>
  <si>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</si>
  <si>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</si>
  <si>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</si>
  <si>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</si>
  <si>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</si>
  <si>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</si>
  <si>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</si>
  <si>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</si>
  <si>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</si>
  <si>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</si>
  <si>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</si>
  <si>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</si>
  <si>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</si>
  <si>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</si>
  <si>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</si>
  <si>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</si>
  <si>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</si>
  <si>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</si>
  <si>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</si>
  <si>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</si>
  <si>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</si>
  <si>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</si>
  <si>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</si>
  <si>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</si>
  <si>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</si>
  <si>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</si>
  <si>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</si>
  <si>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</si>
  <si>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</si>
  <si>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</si>
  <si>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</si>
  <si>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</si>
  <si>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</si>
  <si>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</si>
  <si>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</si>
  <si>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</si>
  <si>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</si>
  <si>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</si>
  <si>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</si>
  <si>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</si>
  <si>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</si>
  <si>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</si>
  <si>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</si>
  <si>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</si>
  <si>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</si>
  <si>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</si>
  <si>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</si>
  <si>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</si>
  <si>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</si>
  <si>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</si>
  <si>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</si>
  <si>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</si>
  <si>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</si>
  <si>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</si>
  <si>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</si>
  <si>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</si>
  <si>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</si>
  <si>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</si>
  <si>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</si>
  <si>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</si>
  <si>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</si>
  <si>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</si>
  <si>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</si>
  <si>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</si>
  <si>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</si>
  <si>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</si>
  <si>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</si>
  <si>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</si>
  <si>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</si>
  <si>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</si>
  <si>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</si>
  <si>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</si>
  <si>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</si>
  <si>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</si>
  <si>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</si>
  <si>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</si>
  <si>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</si>
  <si>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</si>
  <si>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</si>
  <si>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</si>
  <si>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</si>
  <si>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</si>
  <si>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</si>
  <si>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</si>
  <si>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</si>
  <si>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</si>
  <si>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</si>
  <si>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</si>
  <si>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</si>
  <si>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</si>
  <si>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</si>
  <si>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</si>
  <si>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</si>
  <si>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</si>
  <si>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</si>
  <si>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</si>
  <si>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</si>
  <si>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</si>
  <si>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</si>
  <si>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</si>
  <si>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</si>
  <si>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</si>
  <si>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</si>
  <si>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</si>
  <si>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</si>
  <si>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</si>
  <si>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</si>
  <si>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</si>
  <si>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</si>
  <si>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</si>
  <si>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</si>
  <si>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</si>
  <si>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</si>
  <si>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</si>
  <si>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</si>
  <si>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</si>
  <si>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</si>
  <si>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</si>
  <si>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</si>
  <si>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</si>
  <si>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</si>
  <si>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</si>
  <si>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</si>
  <si>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</si>
  <si>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</si>
  <si>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</si>
  <si>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</si>
  <si>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</si>
  <si>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</si>
  <si>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</si>
  <si>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</si>
  <si>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</si>
  <si>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</si>
  <si>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</si>
  <si>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</si>
  <si>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</si>
  <si>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</si>
  <si>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</si>
  <si>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</si>
  <si>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</si>
  <si>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</si>
  <si>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</si>
  <si>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</si>
  <si>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</si>
  <si>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</si>
  <si>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</si>
  <si>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</si>
  <si>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</si>
  <si>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</si>
  <si>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</si>
  <si>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</si>
  <si>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</si>
  <si>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</si>
  <si>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</si>
  <si>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</si>
  <si>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</si>
  <si>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</si>
  <si>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</si>
  <si>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</si>
  <si>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</si>
  <si>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</si>
  <si>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</si>
  <si>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</si>
  <si>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</si>
  <si>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</si>
  <si>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</si>
  <si>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</si>
  <si>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</si>
  <si>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</si>
  <si>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</si>
  <si>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</si>
  <si>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</si>
  <si>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</si>
  <si>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</si>
  <si>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</si>
  <si>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</si>
  <si>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</si>
  <si>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</si>
  <si>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</si>
  <si>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</si>
  <si>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</si>
  <si>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</si>
  <si>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</si>
  <si>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</si>
  <si>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</si>
  <si>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</si>
  <si>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</si>
  <si>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</si>
  <si>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</si>
  <si>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</si>
  <si>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</si>
  <si>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</si>
  <si>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</si>
  <si>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</si>
  <si>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</si>
  <si>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</si>
  <si>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</si>
  <si>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</si>
  <si>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</si>
  <si>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</si>
  <si>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</si>
  <si>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</si>
  <si>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</si>
  <si>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</si>
  <si>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</si>
  <si>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</si>
  <si>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</si>
  <si>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</si>
  <si>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</si>
  <si>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</si>
  <si>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</si>
  <si>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</si>
  <si>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</si>
  <si>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</si>
  <si>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</si>
  <si>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</si>
  <si>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</si>
  <si>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</si>
  <si>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</si>
  <si>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</si>
  <si>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</si>
  <si>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</si>
  <si>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</si>
  <si>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</si>
  <si>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</si>
  <si>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</si>
  <si>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</si>
  <si>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</si>
  <si>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</si>
  <si>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</si>
  <si>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</si>
  <si>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</si>
  <si>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</si>
  <si>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</si>
  <si>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</si>
  <si>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</si>
  <si>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</si>
  <si>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</si>
  <si>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</si>
  <si>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</si>
  <si>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</si>
  <si>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</si>
  <si>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</si>
  <si>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</si>
  <si>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</si>
  <si>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</si>
  <si>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</si>
  <si>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</si>
  <si>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</si>
  <si>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</si>
  <si>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</si>
  <si>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</si>
  <si>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</si>
  <si>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</si>
  <si>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</si>
  <si>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</si>
  <si>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</si>
  <si>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</si>
  <si>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</si>
  <si>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</si>
  <si>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</si>
  <si>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</si>
  <si>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</si>
  <si>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</si>
  <si>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</si>
  <si>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</si>
  <si>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</si>
  <si>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</si>
  <si>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</si>
  <si>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</si>
  <si>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</si>
  <si>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</si>
  <si>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</si>
  <si>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</si>
  <si>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</si>
  <si>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</si>
  <si>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</si>
  <si>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</si>
  <si>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</si>
  <si>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</si>
  <si>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</si>
  <si>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</si>
  <si>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</si>
  <si>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</si>
  <si>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</si>
  <si>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</si>
  <si>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</si>
  <si>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</si>
  <si>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</si>
  <si>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</si>
  <si>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</si>
  <si>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</si>
  <si>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</si>
  <si>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</si>
  <si>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</si>
  <si>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</si>
  <si>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</si>
  <si>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</si>
  <si>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</si>
  <si>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</si>
  <si>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</si>
  <si>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</si>
  <si>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</si>
  <si>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</si>
  <si>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</si>
  <si>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</si>
  <si>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</si>
  <si>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</si>
  <si>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</si>
  <si>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</si>
  <si>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</si>
  <si>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</si>
  <si>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</si>
  <si>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</si>
  <si>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</si>
  <si>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</si>
  <si>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</si>
  <si>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</si>
  <si>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</si>
  <si>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</si>
  <si>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</si>
  <si>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</si>
  <si>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</si>
  <si>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</si>
  <si>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</si>
  <si>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</si>
  <si>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</si>
  <si>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</si>
  <si>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</si>
  <si>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</si>
  <si>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</si>
  <si>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</si>
  <si>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</si>
  <si>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</si>
  <si>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</si>
  <si>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</si>
  <si>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</si>
  <si>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</si>
  <si>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</si>
  <si>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</si>
  <si>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</si>
  <si>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</si>
  <si>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</si>
  <si>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</si>
  <si>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</si>
  <si>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</si>
  <si>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</si>
  <si>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</si>
  <si>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</si>
  <si>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</si>
  <si>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</si>
  <si>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</si>
  <si>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</si>
  <si>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</si>
  <si>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</si>
  <si>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</si>
  <si>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</si>
  <si>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</si>
  <si>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</si>
  <si>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</si>
  <si>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</si>
  <si>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</si>
  <si>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</si>
  <si>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</si>
  <si>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</si>
  <si>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</si>
  <si>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</si>
  <si>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</si>
  <si>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</si>
  <si>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</si>
  <si>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</si>
  <si>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</si>
  <si>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</si>
  <si>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</si>
  <si>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</si>
  <si>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</si>
  <si>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</si>
  <si>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</si>
  <si>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</si>
  <si>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</si>
  <si>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</si>
  <si>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</si>
  <si>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</si>
  <si>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</si>
  <si>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</si>
  <si>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</si>
  <si>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</si>
  <si>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</si>
  <si>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</si>
  <si>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</si>
  <si>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</si>
  <si>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</si>
  <si>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</si>
  <si>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</si>
  <si>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</si>
  <si>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</si>
  <si>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</si>
  <si>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</si>
  <si>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</si>
  <si>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</si>
  <si>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</si>
  <si>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</si>
  <si>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</si>
  <si>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</si>
  <si>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</si>
  <si>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</si>
  <si>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</si>
  <si>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</si>
  <si>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</si>
  <si>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</si>
  <si>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</si>
  <si>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</si>
  <si>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</si>
  <si>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</si>
  <si>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</si>
  <si>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</si>
  <si>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</si>
  <si>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</si>
  <si>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</si>
  <si>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</si>
  <si>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</si>
  <si>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</si>
  <si>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</si>
  <si>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</si>
  <si>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</si>
  <si>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</si>
  <si>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</si>
  <si>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</si>
  <si>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</si>
  <si>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</si>
  <si>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</si>
  <si>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</si>
  <si>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</si>
  <si>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</si>
  <si>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</si>
  <si>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</si>
  <si>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</si>
  <si>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</si>
  <si>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</si>
  <si>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</si>
  <si>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</si>
  <si>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</si>
  <si>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</si>
  <si>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</si>
  <si>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</si>
  <si>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</si>
  <si>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</si>
  <si>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</si>
  <si>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</si>
  <si>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</si>
  <si>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</si>
  <si>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</si>
  <si>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</si>
  <si>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</si>
  <si>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</si>
  <si>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</si>
  <si>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</si>
  <si>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</si>
  <si>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</si>
  <si>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</si>
  <si>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</si>
  <si>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</si>
  <si>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</si>
  <si>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</si>
  <si>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</si>
  <si>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</si>
  <si>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</si>
  <si>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</si>
  <si>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</si>
  <si>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</si>
  <si>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</si>
  <si>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</si>
  <si>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</si>
  <si>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</si>
  <si>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</si>
  <si>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</si>
  <si>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</si>
  <si>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</si>
  <si>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</si>
  <si>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</si>
  <si>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</si>
  <si>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</si>
  <si>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</si>
  <si>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</si>
  <si>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</si>
  <si>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</si>
  <si>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</si>
  <si>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</si>
  <si>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</si>
  <si>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</si>
  <si>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</si>
  <si>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</si>
  <si>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</si>
  <si>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</si>
  <si>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</si>
  <si>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</si>
  <si>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</si>
  <si>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</si>
  <si>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</si>
  <si>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</si>
  <si>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</si>
  <si>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</si>
  <si>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</si>
  <si>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</si>
  <si>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</si>
  <si>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</si>
  <si>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</si>
  <si>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</si>
  <si>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</si>
  <si>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</si>
  <si>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</si>
  <si>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</si>
  <si>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</si>
  <si>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</si>
  <si>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</si>
  <si>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</si>
  <si>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</si>
  <si>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</si>
  <si>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</si>
  <si>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</si>
  <si>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</si>
  <si>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</si>
  <si>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</si>
  <si>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</si>
  <si>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</si>
  <si>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</si>
  <si>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</si>
  <si>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</si>
  <si>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</si>
  <si>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</si>
  <si>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</si>
  <si>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</si>
  <si>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</si>
  <si>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</si>
  <si>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</si>
  <si>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</si>
  <si>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</si>
  <si>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</si>
  <si>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</si>
  <si>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</si>
  <si>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</si>
  <si>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</si>
  <si>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</si>
  <si>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</si>
  <si>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</si>
  <si>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</si>
  <si>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</si>
  <si>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</si>
  <si>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</si>
  <si>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</si>
  <si>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</si>
  <si>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</si>
  <si>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</si>
  <si>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</si>
  <si>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</si>
  <si>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</si>
  <si>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</si>
  <si>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</si>
  <si>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</si>
  <si>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</si>
  <si>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</si>
  <si>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</si>
  <si>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</si>
  <si>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</si>
  <si>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</si>
  <si>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</si>
  <si>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</si>
  <si>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</si>
  <si>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</si>
  <si>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</si>
  <si>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</si>
  <si>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</si>
  <si>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</si>
  <si>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</si>
  <si>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</si>
  <si>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</si>
  <si>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</si>
  <si>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</si>
  <si>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</si>
  <si>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</si>
  <si>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</si>
  <si>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</si>
  <si>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</si>
  <si>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</si>
  <si>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</si>
  <si>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</si>
  <si>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</si>
  <si>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</si>
  <si>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</si>
  <si>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</si>
  <si>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</si>
  <si>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</si>
  <si>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</si>
  <si>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</si>
  <si>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</si>
  <si>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</si>
  <si>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</si>
  <si>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</si>
  <si>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</si>
  <si>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</si>
  <si>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</si>
  <si>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</si>
  <si>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</si>
  <si>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</si>
  <si>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</si>
  <si>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</si>
  <si>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</si>
  <si>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</si>
  <si>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</si>
  <si>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</si>
  <si>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</si>
  <si>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</si>
  <si>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</si>
  <si>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</si>
  <si>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</si>
  <si>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</si>
  <si>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</si>
  <si>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</si>
  <si>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</si>
  <si>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</si>
  <si>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</si>
  <si>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</si>
  <si>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</si>
  <si>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</si>
  <si>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</si>
  <si>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</si>
  <si>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</si>
  <si>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</si>
  <si>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</si>
  <si>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</si>
  <si>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</si>
  <si>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</si>
  <si>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</si>
  <si>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</si>
  <si>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</si>
  <si>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</si>
  <si>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</si>
  <si>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</si>
  <si>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</si>
  <si>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</si>
  <si>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</si>
  <si>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</si>
  <si>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</si>
  <si>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</si>
  <si>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</si>
  <si>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</si>
  <si>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</si>
  <si>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</si>
  <si>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</si>
  <si>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</si>
  <si>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</si>
  <si>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</si>
  <si>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</si>
  <si>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</si>
  <si>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</si>
  <si>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</si>
  <si>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</si>
  <si>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</si>
  <si>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</si>
  <si>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</si>
  <si>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</si>
  <si>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</si>
  <si>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</si>
  <si>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</si>
  <si>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</si>
  <si>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</si>
  <si>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</si>
  <si>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</si>
  <si>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</si>
  <si>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</si>
  <si>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</si>
  <si>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</si>
  <si>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</si>
  <si>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</si>
  <si>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</si>
  <si>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</si>
  <si>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</si>
  <si>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</si>
  <si>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</si>
  <si>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</si>
  <si>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</si>
  <si>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</si>
  <si>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</si>
  <si>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</si>
  <si>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</si>
  <si>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</si>
  <si>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</si>
  <si>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</si>
  <si>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</si>
  <si>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</si>
  <si>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</si>
  <si>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</si>
  <si>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</si>
  <si>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</si>
  <si>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</si>
  <si>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</si>
  <si>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</si>
  <si>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</si>
  <si>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</si>
  <si>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</si>
  <si>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</si>
  <si>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</si>
  <si>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</si>
  <si>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</si>
  <si>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</si>
  <si>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</si>
  <si>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</si>
  <si>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</si>
  <si>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</si>
  <si>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</si>
  <si>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</si>
  <si>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</si>
  <si>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</si>
  <si>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</si>
  <si>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</si>
  <si>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</si>
  <si>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</si>
  <si>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</si>
  <si>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</si>
  <si>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</si>
  <si>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</si>
  <si>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</si>
  <si>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</si>
  <si>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</si>
  <si>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</si>
  <si>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</si>
  <si>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</si>
  <si>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</si>
  <si>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</si>
  <si>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</si>
  <si>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</si>
  <si>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</si>
  <si>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</si>
  <si>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</si>
  <si>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</si>
  <si>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</si>
  <si>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</si>
  <si>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</si>
  <si>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</si>
  <si>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</si>
  <si>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</si>
  <si>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</si>
  <si>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</si>
  <si>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</si>
  <si>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</si>
  <si>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</si>
  <si>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</si>
  <si>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</si>
  <si>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</si>
  <si>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</si>
  <si>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</si>
  <si>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</si>
  <si>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</si>
  <si>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</si>
  <si>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</si>
  <si>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</si>
  <si>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</si>
  <si>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</si>
  <si>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</si>
  <si>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</si>
  <si>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</si>
  <si>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</si>
  <si>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</si>
  <si>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</si>
  <si>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</si>
  <si>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</si>
  <si>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</si>
  <si>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</si>
  <si>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</si>
  <si>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</si>
  <si>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</si>
  <si>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</si>
  <si>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</si>
  <si>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</si>
  <si>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</si>
  <si>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</si>
  <si>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</si>
  <si>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</si>
  <si>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</si>
  <si>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</si>
  <si>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</si>
  <si>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</si>
  <si>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</si>
  <si>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</si>
  <si>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</si>
  <si>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</si>
  <si>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</si>
  <si>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</si>
  <si>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</si>
  <si>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</si>
  <si>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</si>
  <si>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</si>
  <si>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</si>
  <si>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</si>
  <si>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</si>
  <si>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</si>
  <si>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</si>
  <si>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</si>
  <si>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</si>
  <si>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</si>
  <si>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</si>
  <si>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</si>
  <si>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</si>
  <si>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</si>
  <si>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</si>
  <si>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</si>
  <si>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</si>
  <si>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</si>
  <si>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</si>
  <si>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</si>
  <si>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</si>
  <si>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</si>
  <si>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</si>
  <si>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</si>
  <si>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</si>
  <si>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</si>
  <si>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</si>
  <si>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</si>
  <si>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</si>
  <si>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</si>
  <si>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</si>
  <si>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</si>
  <si>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</si>
  <si>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</si>
  <si>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</si>
  <si>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</si>
  <si>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</si>
  <si>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</si>
  <si>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</si>
  <si>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</si>
  <si>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</si>
  <si>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</si>
  <si>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</si>
  <si>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</si>
  <si>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</si>
  <si>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</si>
  <si>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</si>
  <si>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</si>
  <si>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</si>
  <si>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</si>
  <si>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</si>
  <si>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</si>
  <si>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</si>
  <si>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</si>
  <si>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</si>
  <si>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</si>
  <si>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</si>
  <si>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</si>
  <si>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</si>
  <si>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</si>
  <si>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</si>
  <si>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</si>
  <si>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</si>
  <si>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</si>
  <si>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</si>
  <si>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</si>
  <si>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</si>
  <si>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</si>
  <si>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</si>
  <si>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</si>
  <si>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</si>
  <si>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</si>
  <si>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</si>
  <si>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</si>
  <si>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</si>
  <si>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</si>
  <si>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</si>
  <si>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</si>
  <si>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</si>
  <si>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</si>
  <si>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</si>
  <si>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</si>
  <si>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</si>
  <si>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</si>
  <si>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</si>
  <si>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</si>
  <si>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</si>
  <si>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</si>
  <si>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</si>
  <si>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</si>
  <si>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</si>
  <si>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</si>
  <si>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</si>
  <si>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</si>
  <si>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</si>
  <si>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</si>
  <si>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</si>
  <si>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</si>
  <si>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</si>
  <si>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</si>
  <si>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</si>
  <si>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</si>
  <si>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</si>
  <si>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</si>
  <si>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</si>
  <si>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</si>
  <si>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</si>
  <si>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</si>
  <si>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</si>
  <si>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</si>
  <si>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</si>
  <si>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</si>
  <si>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</si>
  <si>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</si>
  <si>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</si>
  <si>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</si>
  <si>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</si>
  <si>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</si>
  <si>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</si>
  <si>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</si>
  <si>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</si>
  <si>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</si>
  <si>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</si>
  <si>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</si>
  <si>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</si>
  <si>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</si>
  <si>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</si>
  <si>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</si>
  <si>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</si>
  <si>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</si>
  <si>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</si>
  <si>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</si>
  <si>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</si>
  <si>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</si>
  <si>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</si>
  <si>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</si>
  <si>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</si>
  <si>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</si>
  <si>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</si>
  <si>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</si>
  <si>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</si>
  <si>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</si>
  <si>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</si>
  <si>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</si>
  <si>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</si>
  <si>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</si>
  <si>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</si>
  <si>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</si>
  <si>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</si>
  <si>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</si>
  <si>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</si>
  <si>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</si>
  <si>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</si>
  <si>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</si>
  <si>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</si>
  <si>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</si>
  <si>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</si>
  <si>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</si>
  <si>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</si>
  <si>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</si>
  <si>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</si>
  <si>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</si>
  <si>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</si>
  <si>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</si>
  <si>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</si>
  <si>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</si>
  <si>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</si>
  <si>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</si>
  <si>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</si>
  <si>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</si>
  <si>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</si>
  <si>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</si>
  <si>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</si>
  <si>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</si>
  <si>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</si>
  <si>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</si>
  <si>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</si>
  <si>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</si>
  <si>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</si>
  <si>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</si>
  <si>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</si>
  <si>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</si>
  <si>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</si>
  <si>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</si>
  <si>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</si>
  <si>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</si>
  <si>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</si>
  <si>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</si>
  <si>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</si>
  <si>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</si>
  <si>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</si>
  <si>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</si>
  <si>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</si>
  <si>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</si>
  <si>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</si>
  <si>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</si>
  <si>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</si>
  <si>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</si>
  <si>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</si>
  <si>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</si>
  <si>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</si>
  <si>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</si>
  <si>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</si>
  <si>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</si>
  <si>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</si>
  <si>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</si>
  <si>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</si>
  <si>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</si>
  <si>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</si>
  <si>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</si>
  <si>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</si>
  <si>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</si>
  <si>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</si>
  <si>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</si>
  <si>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</si>
  <si>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</si>
  <si>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</si>
  <si>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</si>
  <si>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</si>
  <si>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</si>
  <si>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</si>
  <si>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</si>
  <si>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</si>
  <si>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</si>
  <si>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</si>
  <si>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</si>
  <si>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</si>
  <si>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</si>
  <si>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</si>
  <si>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</si>
  <si>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</si>
  <si>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</si>
  <si>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</si>
  <si>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</si>
  <si>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</si>
  <si>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</si>
  <si>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</si>
  <si>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</si>
  <si>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</si>
  <si>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</si>
  <si>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</si>
  <si>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</si>
  <si>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</si>
  <si>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</si>
  <si>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</si>
  <si>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</si>
  <si>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</si>
  <si>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</si>
  <si>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</si>
  <si>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</si>
  <si>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</si>
  <si>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</si>
  <si>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</si>
  <si>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</si>
  <si>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</si>
  <si>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</si>
  <si>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</si>
  <si>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</si>
  <si>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</si>
  <si>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</si>
  <si>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</si>
  <si>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</si>
  <si>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</si>
  <si>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</si>
  <si>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</si>
  <si>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</si>
  <si>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</si>
  <si>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</si>
  <si>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</si>
  <si>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</si>
  <si>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</si>
  <si>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</si>
  <si>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</si>
  <si>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</si>
  <si>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</si>
  <si>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</si>
  <si>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</si>
  <si>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</si>
  <si>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</si>
  <si>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</si>
  <si>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</si>
  <si>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</si>
  <si>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</si>
  <si>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</si>
  <si>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</si>
  <si>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</si>
  <si>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</si>
  <si>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</si>
  <si>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</si>
  <si>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</si>
  <si>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</si>
  <si>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</si>
  <si>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</si>
  <si>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</si>
  <si>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</si>
  <si>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</si>
  <si>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</si>
  <si>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</si>
  <si>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</si>
  <si>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</si>
  <si>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</si>
  <si>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</si>
  <si>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</si>
  <si>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</si>
  <si>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</si>
  <si>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</si>
  <si>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</si>
  <si>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</si>
  <si>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</si>
  <si>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</si>
  <si>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</si>
  <si>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</si>
  <si>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</si>
  <si>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</si>
  <si>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</si>
  <si>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</si>
  <si>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</si>
  <si>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</si>
  <si>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</si>
  <si>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</si>
  <si>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</si>
  <si>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</si>
  <si>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</si>
  <si>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</si>
  <si>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</si>
  <si>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</si>
  <si>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</si>
  <si>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</si>
  <si>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</si>
  <si>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</si>
  <si>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</si>
  <si>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</si>
  <si>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</si>
  <si>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</si>
  <si>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</si>
  <si>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</si>
  <si>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</si>
  <si>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</si>
  <si>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</si>
  <si>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</si>
  <si>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</si>
  <si>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</si>
  <si>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</si>
  <si>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</si>
  <si>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</si>
  <si>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</si>
  <si>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</si>
  <si>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</si>
  <si>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</si>
  <si>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</si>
  <si>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</si>
  <si>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</si>
  <si>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</si>
  <si>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</si>
  <si>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</si>
  <si>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</si>
  <si>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</si>
  <si>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</si>
  <si>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</si>
  <si>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</si>
  <si>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</si>
  <si>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</si>
  <si>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</si>
  <si>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</si>
  <si>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</si>
  <si>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</si>
  <si>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</si>
  <si>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</si>
  <si>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</si>
  <si>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</si>
  <si>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</si>
  <si>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</si>
  <si>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</si>
  <si>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</si>
  <si>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</si>
  <si>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</si>
  <si>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</si>
  <si>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</si>
  <si>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</si>
  <si>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</si>
  <si>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</si>
  <si>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</si>
  <si>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</si>
  <si>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</si>
  <si>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</si>
  <si>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</si>
  <si>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</si>
  <si>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</si>
  <si>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</si>
  <si>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</si>
  <si>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</si>
  <si>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</si>
  <si>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</si>
  <si>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</si>
  <si>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</si>
  <si>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</si>
  <si>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</si>
  <si>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</si>
  <si>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</si>
  <si>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</si>
  <si>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</si>
  <si>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</si>
  <si>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</si>
  <si>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</si>
  <si>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</si>
  <si>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</si>
  <si>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</si>
  <si>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</si>
  <si>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</si>
  <si>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</si>
  <si>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</si>
  <si>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</si>
  <si>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</si>
  <si>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</si>
  <si>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</si>
  <si>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</si>
  <si>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</si>
  <si>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</si>
  <si>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</si>
  <si>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</si>
  <si>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</si>
  <si>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</si>
  <si>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</si>
  <si>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</si>
  <si>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</si>
  <si>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</si>
  <si>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</si>
  <si>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</si>
  <si>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</si>
  <si>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</si>
  <si>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</si>
  <si>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</si>
  <si>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</si>
  <si>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</si>
  <si>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</si>
  <si>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</si>
  <si>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</si>
  <si>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</si>
  <si>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</si>
  <si>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</si>
  <si>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</si>
  <si>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</si>
  <si>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</si>
  <si>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</si>
  <si>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</si>
  <si>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</si>
  <si>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</si>
  <si>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</si>
  <si>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</si>
  <si>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</si>
  <si>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</si>
  <si>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</si>
  <si>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</si>
  <si>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</si>
  <si>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</si>
  <si>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</si>
  <si>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</si>
  <si>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</si>
  <si>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</si>
  <si>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</si>
  <si>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</si>
  <si>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</si>
  <si>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</si>
  <si>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</si>
  <si>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</si>
  <si>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</si>
  <si>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</si>
  <si>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</si>
  <si>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</si>
  <si>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</si>
  <si>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</si>
  <si>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</si>
  <si>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</si>
  <si>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</si>
  <si>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</si>
  <si>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</si>
  <si>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</si>
  <si>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</si>
  <si>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</si>
  <si>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</si>
  <si>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</si>
  <si>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</si>
  <si>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</si>
  <si>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</si>
  <si>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</si>
  <si>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</si>
  <si>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</si>
  <si>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</si>
  <si>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</si>
  <si>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</si>
  <si>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</si>
  <si>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</si>
  <si>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</si>
  <si>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</si>
  <si>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</si>
  <si>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</si>
  <si>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</si>
  <si>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</si>
  <si>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</si>
  <si>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</si>
  <si>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</si>
  <si>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</si>
  <si>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</si>
  <si>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</si>
  <si>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</si>
  <si>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</si>
  <si>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</si>
  <si>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</si>
  <si>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</si>
  <si>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</si>
  <si>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</si>
  <si>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</si>
  <si>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</si>
  <si>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</si>
  <si>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</si>
  <si>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</si>
  <si>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</si>
  <si>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</si>
  <si>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</si>
  <si>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</si>
  <si>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</si>
  <si>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</si>
  <si>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</si>
  <si>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</si>
  <si>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</si>
  <si>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</si>
  <si>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</si>
  <si>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</si>
  <si>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</si>
  <si>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</si>
  <si>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</si>
  <si>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</si>
  <si>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</si>
  <si>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</si>
  <si>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</si>
  <si>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</si>
  <si>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</si>
  <si>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</si>
  <si>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</si>
  <si>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</si>
  <si>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</si>
  <si>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</si>
  <si>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</si>
  <si>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</si>
  <si>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</si>
  <si>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</si>
  <si>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</si>
  <si>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</si>
  <si>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</si>
  <si>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</si>
  <si>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</si>
  <si>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</si>
  <si>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</si>
  <si>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</si>
  <si>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</si>
  <si>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</si>
  <si>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</si>
  <si>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</si>
  <si>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</si>
  <si>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</si>
  <si>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</si>
  <si>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</si>
  <si>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</si>
  <si>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</si>
  <si>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</si>
  <si>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</si>
  <si>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</si>
  <si>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</si>
  <si>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</si>
  <si>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</si>
  <si>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</si>
  <si>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</si>
  <si>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</si>
  <si>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</si>
  <si>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</si>
  <si>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</si>
  <si>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</si>
  <si>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</si>
  <si>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</si>
  <si>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</si>
  <si>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</si>
  <si>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</si>
  <si>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</si>
  <si>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</si>
  <si>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</si>
  <si>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</si>
  <si>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</si>
  <si>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</si>
  <si>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</si>
  <si>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</si>
  <si>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</si>
  <si>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</si>
  <si>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</si>
  <si>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</si>
  <si>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</si>
  <si>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</si>
  <si>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</si>
  <si>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</si>
  <si>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</si>
  <si>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</si>
  <si>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</si>
  <si>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</si>
  <si>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</si>
  <si>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</si>
  <si>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</si>
  <si>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</si>
  <si>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</si>
  <si>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</si>
  <si>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</si>
  <si>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</si>
  <si>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</si>
  <si>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</si>
  <si>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</si>
  <si>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</si>
  <si>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</si>
  <si>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</si>
  <si>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</si>
  <si>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</si>
  <si>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</si>
  <si>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</si>
  <si>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</si>
  <si>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</si>
  <si>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</si>
  <si>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</si>
  <si>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</si>
  <si>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</si>
  <si>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</si>
  <si>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</si>
  <si>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</si>
  <si>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</si>
  <si>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</si>
  <si>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</si>
  <si>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</si>
  <si>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</si>
  <si>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</si>
  <si>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</si>
  <si>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</si>
  <si>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</si>
  <si>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</si>
  <si>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</si>
  <si>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</si>
  <si>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</si>
  <si>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</si>
  <si>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</si>
  <si>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</si>
  <si>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</si>
  <si>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</si>
  <si>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</si>
  <si>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</si>
  <si>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</si>
  <si>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</si>
  <si>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</si>
  <si>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</si>
  <si>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</si>
  <si>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</si>
  <si>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</si>
  <si>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</si>
  <si>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</si>
  <si>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</si>
  <si>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</si>
  <si>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</si>
  <si>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</si>
  <si>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</si>
  <si>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</si>
  <si>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</si>
  <si>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</si>
  <si>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</si>
  <si>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</si>
  <si>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</si>
  <si>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</si>
  <si>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</si>
  <si>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</si>
  <si>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</si>
  <si>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</si>
  <si>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</si>
  <si>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</si>
  <si>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</si>
  <si>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</si>
  <si>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</si>
  <si>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</si>
  <si>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</si>
  <si>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</si>
  <si>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</si>
  <si>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</si>
  <si>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</si>
  <si>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</si>
  <si>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</si>
  <si>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</si>
  <si>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</si>
  <si>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</si>
  <si>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</si>
  <si>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</si>
  <si>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</si>
  <si>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</si>
  <si>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</si>
  <si>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</si>
  <si>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</si>
  <si>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</si>
  <si>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</si>
  <si>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</si>
  <si>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</si>
  <si>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</si>
  <si>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</si>
  <si>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</si>
  <si>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</si>
  <si>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</si>
  <si>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</si>
  <si>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</si>
  <si>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</si>
  <si>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</si>
  <si>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</si>
  <si>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</si>
  <si>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</si>
  <si>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</si>
  <si>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</si>
  <si>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</si>
  <si>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</si>
  <si>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</si>
  <si>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</si>
  <si>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</si>
  <si>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</si>
  <si>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</si>
  <si>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</si>
  <si>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</si>
  <si>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</si>
  <si>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</si>
  <si>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</si>
  <si>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</si>
  <si>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</si>
  <si>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</si>
  <si>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</si>
  <si>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</si>
  <si>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</si>
  <si>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</si>
  <si>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</si>
  <si>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</si>
  <si>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</si>
  <si>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</si>
  <si>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</si>
  <si>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</si>
  <si>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</si>
  <si>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</si>
  <si>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</si>
  <si>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</si>
  <si>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</si>
  <si>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</si>
  <si>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</si>
  <si>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</si>
  <si>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</si>
  <si>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</si>
  <si>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</si>
  <si>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</si>
  <si>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</si>
  <si>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</si>
  <si>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</si>
  <si>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</si>
  <si>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</si>
  <si>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</si>
  <si>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</si>
  <si>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</si>
  <si>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</si>
  <si>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</si>
  <si>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</si>
  <si>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</si>
  <si>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</si>
  <si>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</si>
  <si>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</si>
  <si>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</si>
  <si>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</si>
  <si>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</si>
  <si>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</si>
  <si>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</si>
  <si>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</si>
  <si>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</si>
  <si>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</si>
  <si>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</si>
  <si>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</si>
  <si>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</si>
  <si>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</si>
  <si>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</si>
  <si>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</si>
  <si>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</si>
  <si>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</si>
  <si>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</si>
  <si>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</si>
  <si>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</si>
  <si>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</si>
  <si>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</si>
  <si>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</si>
  <si>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</si>
  <si>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</si>
  <si>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</si>
  <si>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</si>
  <si>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</si>
  <si>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</si>
  <si>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</si>
  <si>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</si>
  <si>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</si>
  <si>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</si>
  <si>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</si>
  <si>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</si>
  <si>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</si>
  <si>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</si>
  <si>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</si>
  <si>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</si>
  <si>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</si>
  <si>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</si>
  <si>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</si>
  <si>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</si>
  <si>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</si>
  <si>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</si>
  <si>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</si>
  <si>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</si>
  <si>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</si>
  <si>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</si>
  <si>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</si>
  <si>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</si>
  <si>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</si>
  <si>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</si>
  <si>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</si>
  <si>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</si>
  <si>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</si>
  <si>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</si>
  <si>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</si>
  <si>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</si>
  <si>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</si>
  <si>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</si>
  <si>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</si>
  <si>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</si>
  <si>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</si>
  <si>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</si>
  <si>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</si>
  <si>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</si>
  <si>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</si>
  <si>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</si>
  <si>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</si>
  <si>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</si>
  <si>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</si>
  <si>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</si>
  <si>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</si>
  <si>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</si>
  <si>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</si>
  <si>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</si>
  <si>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</si>
  <si>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</si>
  <si>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</si>
  <si>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</si>
  <si>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</si>
  <si>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</si>
  <si>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</si>
  <si>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</si>
  <si>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</si>
  <si>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</si>
  <si>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</si>
  <si>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</si>
  <si>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</si>
  <si>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</si>
  <si>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</si>
  <si>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</si>
  <si>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</si>
  <si>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</si>
  <si>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</si>
  <si>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</si>
  <si>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</si>
  <si>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</si>
  <si>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</si>
  <si>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</si>
  <si>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</si>
  <si>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</si>
  <si>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</si>
  <si>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</si>
  <si>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</si>
  <si>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</si>
  <si>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</si>
  <si>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</si>
  <si>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</si>
  <si>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</si>
  <si>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</si>
  <si>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</si>
  <si>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</si>
  <si>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</si>
  <si>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</si>
  <si>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</si>
  <si>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</si>
  <si>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</si>
  <si>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</si>
  <si>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</si>
  <si>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</si>
  <si>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</si>
  <si>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</si>
  <si>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</si>
  <si>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</si>
  <si>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</si>
  <si>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</si>
  <si>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</si>
  <si>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</si>
  <si>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</si>
  <si>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</si>
  <si>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</si>
  <si>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</si>
  <si>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</si>
  <si>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</si>
  <si>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</si>
  <si>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</si>
  <si>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</si>
  <si>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</si>
  <si>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</si>
  <si>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</si>
  <si>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</si>
  <si>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</si>
  <si>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</si>
  <si>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</si>
  <si>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</si>
  <si>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</si>
  <si>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</si>
  <si>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</si>
  <si>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</si>
  <si>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</si>
  <si>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</si>
  <si>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</si>
  <si>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</si>
  <si>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</si>
  <si>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</si>
  <si>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</si>
  <si>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</si>
  <si>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</si>
  <si>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</si>
  <si>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</si>
  <si>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</si>
  <si>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</si>
  <si>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</si>
  <si>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</si>
  <si>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</si>
  <si>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</si>
  <si>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</si>
  <si>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</si>
  <si>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</si>
  <si>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</si>
  <si>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</si>
  <si>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</si>
  <si>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</si>
  <si>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</si>
  <si>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</si>
  <si>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</si>
  <si>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</si>
  <si>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</si>
  <si>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</si>
  <si>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</si>
  <si>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</si>
  <si>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</si>
  <si>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</si>
  <si>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</si>
  <si>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</si>
  <si>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</si>
  <si>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</si>
  <si>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</si>
  <si>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</si>
  <si>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</si>
  <si>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</si>
  <si>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</si>
  <si>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</si>
  <si>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</si>
  <si>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</si>
  <si>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</si>
  <si>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</si>
  <si>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</si>
  <si>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</si>
  <si>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</si>
  <si>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</si>
  <si>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</si>
  <si>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</si>
  <si>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</si>
  <si>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</si>
  <si>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</si>
  <si>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</si>
  <si>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</si>
  <si>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</si>
  <si>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</si>
  <si>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</si>
  <si>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</si>
  <si>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</si>
  <si>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</si>
  <si>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</si>
  <si>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</si>
  <si>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</si>
  <si>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</si>
  <si>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</si>
  <si>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</si>
  <si>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</si>
  <si>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</si>
  <si>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</si>
  <si>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</si>
  <si>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</si>
  <si>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</si>
  <si>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</si>
  <si>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</si>
  <si>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</si>
  <si>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</si>
  <si>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</si>
  <si>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</si>
  <si>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</si>
  <si>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</si>
  <si>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</si>
  <si>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</si>
  <si>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</si>
  <si>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</si>
  <si>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</si>
  <si>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</si>
  <si>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</si>
  <si>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</si>
  <si>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</si>
  <si>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</si>
  <si>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</si>
  <si>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</si>
  <si>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</si>
  <si>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</si>
  <si>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</si>
  <si>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</si>
  <si>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</si>
  <si>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</si>
  <si>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</si>
  <si>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</si>
  <si>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</si>
  <si>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</si>
  <si>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</si>
  <si>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</si>
  <si>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</si>
  <si>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</si>
  <si>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</si>
  <si>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</si>
  <si>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</si>
  <si>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</si>
  <si>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</si>
  <si>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</si>
  <si>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</si>
  <si>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</si>
  <si>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</si>
  <si>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</si>
  <si>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</si>
  <si>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</si>
  <si>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</si>
  <si>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</si>
  <si>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</si>
  <si>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</si>
  <si>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</si>
  <si>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</si>
  <si>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</si>
  <si>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</si>
  <si>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</si>
  <si>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</si>
  <si>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</si>
  <si>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</si>
  <si>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</si>
  <si>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</si>
  <si>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</si>
  <si>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</si>
  <si>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</si>
  <si>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</si>
  <si>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</si>
  <si>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</si>
  <si>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</si>
  <si>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</si>
  <si>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</si>
  <si>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</si>
  <si>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</si>
  <si>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</si>
  <si>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</si>
  <si>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</si>
  <si>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</si>
  <si>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</si>
  <si>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</si>
  <si>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</si>
  <si>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</si>
  <si>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</si>
  <si>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</si>
  <si>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</si>
  <si>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</si>
  <si>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</si>
  <si>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</si>
  <si>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</si>
  <si>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</si>
  <si>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</si>
  <si>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</si>
  <si>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</si>
  <si>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</si>
  <si>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</si>
  <si>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</si>
  <si>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</si>
  <si>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</si>
  <si>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</si>
  <si>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</si>
  <si>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</si>
  <si>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</si>
  <si>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</si>
  <si>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</si>
  <si>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</si>
  <si>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</si>
  <si>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</si>
  <si>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</si>
  <si>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</si>
  <si>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</si>
  <si>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</si>
  <si>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</si>
  <si>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</si>
  <si>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</si>
  <si>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</si>
  <si>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</si>
  <si>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</si>
  <si>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</si>
  <si>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</si>
  <si>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</si>
  <si>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</si>
  <si>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</si>
  <si>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</si>
  <si>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</si>
  <si>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</si>
  <si>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</si>
  <si>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</si>
  <si>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</si>
  <si>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</si>
  <si>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</si>
  <si>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</si>
  <si>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</si>
  <si>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</si>
  <si>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</si>
  <si>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</si>
  <si>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</si>
  <si>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</si>
  <si>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</si>
  <si>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</si>
  <si>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</si>
  <si>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</si>
  <si>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</si>
  <si>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</si>
  <si>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</si>
  <si>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</si>
  <si>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</si>
  <si>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</si>
  <si>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</si>
  <si>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</si>
  <si>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</si>
  <si>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</si>
  <si>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</si>
  <si>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</si>
  <si>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</si>
  <si>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</si>
  <si>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</si>
  <si>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</si>
  <si>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</si>
  <si>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</si>
  <si>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</si>
  <si>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</si>
  <si>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</si>
  <si>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</si>
  <si>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</si>
  <si>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</si>
  <si>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</si>
  <si>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</si>
  <si>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</si>
  <si>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</si>
  <si>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</si>
  <si>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</si>
  <si>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</si>
  <si>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</si>
  <si>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</si>
  <si>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</si>
  <si>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</si>
  <si>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</si>
  <si>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</si>
  <si>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</si>
  <si>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</si>
  <si>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</si>
  <si>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</si>
  <si>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</si>
  <si>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</si>
  <si>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</si>
  <si>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</si>
  <si>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</si>
  <si>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</si>
  <si>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</si>
  <si>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</si>
  <si>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</si>
  <si>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</si>
  <si>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</si>
  <si>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</si>
  <si>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</si>
  <si>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</si>
  <si>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</si>
  <si>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</si>
  <si>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</si>
  <si>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</si>
  <si>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</si>
  <si>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</si>
  <si>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</si>
  <si>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</si>
  <si>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</si>
  <si>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</si>
  <si>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</si>
  <si>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</si>
  <si>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</si>
  <si>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</si>
  <si>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</si>
  <si>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</si>
  <si>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</si>
  <si>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</si>
  <si>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</si>
  <si>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</si>
  <si>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</si>
  <si>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</si>
  <si>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</si>
  <si>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</si>
  <si>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</si>
  <si>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</si>
  <si>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</si>
  <si>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</si>
  <si>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</si>
  <si>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</si>
  <si>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</si>
  <si>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</si>
  <si>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</si>
  <si>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</si>
  <si>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</si>
  <si>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</si>
  <si>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</si>
  <si>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</si>
  <si>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</si>
  <si>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</si>
  <si>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</si>
  <si>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</si>
  <si>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</si>
  <si>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</si>
  <si>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</si>
  <si>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</si>
  <si>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</si>
  <si>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</si>
  <si>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</si>
  <si>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</si>
  <si>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</si>
  <si>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</si>
  <si>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</si>
  <si>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</si>
  <si>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</si>
  <si>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</si>
  <si>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</si>
  <si>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</si>
  <si>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</si>
  <si>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</si>
  <si>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</si>
  <si>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</si>
  <si>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</si>
  <si>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</si>
  <si>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</si>
  <si>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</si>
  <si>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</si>
  <si>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</si>
  <si>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</si>
  <si>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</si>
  <si>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</si>
  <si>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</si>
  <si>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</si>
  <si>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</si>
  <si>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</si>
  <si>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</si>
  <si>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</si>
  <si>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</si>
  <si>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</si>
  <si>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</si>
  <si>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</si>
  <si>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</si>
  <si>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</si>
  <si>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</si>
  <si>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</si>
  <si>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</si>
  <si>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</si>
  <si>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</si>
  <si>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</si>
  <si>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</si>
  <si>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</si>
  <si>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</si>
  <si>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</si>
  <si>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</si>
  <si>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</si>
  <si>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</si>
  <si>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</si>
  <si>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</si>
  <si>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</si>
  <si>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</si>
  <si>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</si>
  <si>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</si>
  <si>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</si>
  <si>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</si>
  <si>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</si>
  <si>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</si>
  <si>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</si>
  <si>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</si>
  <si>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</si>
  <si>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</si>
  <si>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</si>
  <si>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</si>
  <si>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</si>
  <si>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</si>
  <si>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</si>
  <si>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</si>
  <si>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</si>
  <si>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</si>
  <si>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</si>
  <si>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</si>
  <si>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</si>
  <si>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</si>
  <si>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</si>
  <si>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</si>
  <si>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</si>
  <si>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</si>
  <si>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</si>
  <si>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</si>
  <si>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</si>
  <si>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</si>
  <si>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</si>
  <si>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</si>
  <si>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</si>
  <si>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</si>
  <si>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</si>
  <si>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</si>
  <si>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</si>
  <si>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</si>
  <si>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</si>
  <si>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</si>
  <si>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</si>
  <si>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</si>
  <si>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</si>
  <si>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</si>
  <si>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</si>
  <si>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</si>
  <si>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</si>
  <si>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</si>
  <si>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</si>
  <si>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</si>
  <si>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</si>
  <si>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</si>
  <si>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</si>
  <si>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</si>
  <si>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</si>
  <si>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</si>
  <si>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</si>
  <si>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</si>
  <si>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</si>
  <si>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</si>
  <si>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</si>
  <si>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</si>
  <si>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</si>
  <si>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</si>
  <si>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</si>
  <si>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</si>
  <si>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</si>
  <si>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</si>
  <si>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</si>
  <si>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</si>
  <si>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</si>
  <si>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</si>
  <si>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</si>
  <si>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</si>
  <si>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</si>
  <si>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</si>
  <si>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</si>
  <si>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</si>
  <si>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</si>
  <si>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</si>
  <si>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</si>
  <si>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</si>
  <si>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</si>
  <si>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</si>
  <si>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</si>
  <si>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</si>
  <si>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</si>
  <si>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</si>
  <si>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</si>
  <si>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</si>
  <si>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</si>
  <si>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</si>
  <si>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</si>
  <si>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</si>
  <si>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</si>
  <si>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</si>
  <si>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</si>
  <si>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</si>
  <si>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</si>
  <si>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</si>
  <si>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</si>
  <si>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</si>
  <si>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</si>
  <si>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</si>
  <si>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</si>
  <si>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</si>
  <si>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</si>
  <si>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</si>
  <si>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</si>
  <si>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</si>
  <si>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</si>
  <si>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</si>
  <si>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</si>
  <si>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</si>
  <si>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</si>
  <si>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</si>
  <si>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</si>
  <si>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</si>
  <si>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</si>
  <si>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</si>
  <si>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</si>
  <si>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</si>
  <si>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</si>
  <si>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</si>
  <si>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</si>
  <si>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</si>
  <si>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</si>
  <si>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</si>
  <si>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</si>
  <si>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</si>
  <si>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</si>
  <si>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</si>
  <si>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</si>
  <si>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</si>
  <si>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</si>
  <si>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</si>
  <si>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</si>
  <si>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</si>
  <si>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</si>
  <si>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</si>
  <si>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</si>
  <si>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</si>
  <si>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</si>
  <si>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</si>
  <si>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</si>
  <si>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</si>
  <si>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</si>
  <si>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</si>
  <si>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</si>
  <si>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</si>
  <si>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</si>
  <si>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</si>
  <si>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</si>
  <si>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</si>
  <si>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</si>
  <si>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</si>
  <si>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</si>
  <si>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</si>
  <si>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</si>
  <si>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</si>
  <si>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</si>
  <si>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</si>
  <si>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</si>
  <si>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</si>
  <si>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</si>
  <si>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</si>
  <si>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</si>
  <si>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</si>
  <si>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</si>
  <si>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</si>
  <si>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</si>
  <si>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</si>
  <si>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</si>
  <si>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</si>
  <si>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</si>
  <si>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</si>
  <si>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</si>
  <si>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</si>
  <si>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</si>
  <si>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</si>
  <si>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</si>
  <si>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</si>
  <si>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</si>
  <si>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</si>
  <si>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</si>
  <si>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</si>
  <si>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</si>
  <si>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</si>
  <si>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</si>
  <si>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</si>
  <si>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</si>
  <si>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</si>
  <si>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</si>
  <si>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</si>
  <si>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</si>
  <si>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</si>
  <si>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</si>
  <si>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</si>
  <si>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</si>
  <si>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</si>
  <si>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</si>
  <si>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</si>
  <si>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</si>
  <si>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</si>
  <si>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</si>
  <si>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</si>
  <si>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</si>
  <si>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</si>
  <si>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</si>
  <si>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</si>
  <si>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</si>
  <si>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</si>
  <si>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</si>
  <si>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</si>
  <si>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</si>
  <si>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</si>
  <si>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</si>
  <si>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</si>
  <si>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</si>
  <si>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</si>
  <si>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</si>
  <si>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</si>
  <si>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</si>
  <si>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</si>
  <si>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</si>
  <si>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</si>
  <si>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</si>
  <si>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</si>
  <si>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</si>
  <si>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</si>
  <si>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</si>
  <si>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</si>
  <si>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</si>
  <si>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</si>
  <si>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</si>
  <si>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</si>
  <si>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</si>
  <si>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</si>
  <si>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</si>
  <si>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</si>
  <si>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</si>
  <si>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</si>
  <si>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</si>
  <si>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</si>
  <si>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</si>
  <si>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</si>
  <si>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</si>
  <si>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</si>
  <si>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</si>
  <si>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</si>
  <si>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</si>
  <si>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</si>
  <si>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</si>
  <si>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</si>
  <si>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</si>
  <si>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</si>
  <si>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</si>
  <si>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</si>
  <si>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</si>
  <si>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</si>
  <si>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</si>
  <si>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</si>
  <si>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</si>
  <si>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</si>
  <si>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</si>
  <si>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</si>
  <si>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</si>
  <si>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</si>
  <si>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</si>
  <si>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</si>
  <si>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</si>
  <si>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</si>
  <si>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</si>
  <si>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</si>
  <si>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</si>
  <si>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</si>
  <si>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</si>
  <si>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</si>
  <si>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</si>
  <si>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</si>
  <si>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</si>
  <si>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</si>
  <si>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</si>
  <si>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</si>
  <si>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</si>
  <si>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</si>
  <si>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</si>
  <si>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</si>
  <si>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</si>
  <si>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</si>
  <si>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</si>
  <si>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</si>
  <si>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</si>
  <si>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</si>
  <si>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</si>
  <si>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</si>
  <si>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</si>
  <si>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</si>
  <si>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</si>
  <si>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</si>
  <si>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</si>
  <si>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</si>
  <si>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</si>
  <si>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</si>
  <si>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</si>
  <si>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</si>
  <si>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</si>
  <si>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</si>
  <si>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</si>
  <si>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</si>
  <si>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</si>
  <si>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</si>
  <si>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</si>
  <si>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</si>
  <si>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</si>
  <si>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</si>
  <si>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</si>
  <si>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</si>
  <si>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</si>
  <si>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</si>
  <si>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</si>
  <si>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</si>
  <si>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</si>
  <si>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</si>
  <si>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</si>
  <si>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</si>
  <si>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</si>
  <si>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</si>
  <si>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</si>
  <si>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</si>
  <si>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</si>
  <si>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</si>
  <si>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</si>
  <si>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</si>
  <si>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</si>
  <si>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</si>
  <si>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</si>
  <si>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</si>
  <si>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</si>
  <si>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</si>
  <si>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</si>
  <si>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</si>
  <si>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</si>
  <si>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</si>
  <si>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</si>
  <si>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</si>
  <si>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</si>
  <si>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</si>
  <si>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</si>
  <si>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</si>
  <si>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</si>
  <si>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</si>
  <si>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</si>
  <si>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</si>
  <si>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</si>
  <si>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</si>
  <si>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</si>
  <si>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</si>
  <si>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</si>
  <si>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</si>
  <si>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</si>
  <si>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</si>
  <si>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</si>
  <si>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</si>
  <si>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</si>
  <si>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</si>
  <si>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</si>
  <si>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</si>
  <si>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</si>
  <si>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</si>
  <si>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</si>
  <si>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</si>
  <si>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</si>
  <si>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</si>
  <si>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</si>
  <si>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</si>
  <si>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</si>
  <si>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</si>
  <si>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</si>
  <si>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</si>
  <si>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</si>
  <si>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</si>
  <si>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</si>
  <si>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</si>
  <si>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</si>
  <si>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</si>
  <si>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</si>
  <si>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</si>
  <si>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</si>
  <si>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</si>
  <si>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</si>
  <si>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</si>
  <si>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</si>
  <si>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</si>
  <si>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</si>
  <si>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</si>
  <si>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</si>
  <si>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</si>
  <si>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</si>
  <si>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</si>
  <si>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</si>
  <si>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</si>
  <si>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</si>
  <si>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</si>
  <si>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</si>
  <si>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</si>
  <si>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</si>
  <si>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</si>
  <si>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</si>
  <si>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</si>
  <si>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</si>
  <si>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</si>
  <si>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</si>
  <si>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</si>
  <si>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</si>
  <si>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</si>
  <si>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</si>
  <si>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</si>
  <si>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</si>
  <si>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</si>
  <si>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</si>
  <si>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</si>
  <si>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</si>
  <si>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</si>
  <si>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</si>
  <si>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</si>
  <si>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</si>
  <si>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</si>
  <si>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</si>
  <si>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</si>
  <si>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</si>
  <si>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</si>
  <si>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</si>
  <si>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</si>
  <si>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</si>
  <si>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</si>
  <si>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</si>
  <si>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</si>
  <si>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</si>
  <si>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</si>
  <si>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</si>
  <si>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</si>
  <si>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</si>
  <si>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</si>
  <si>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</si>
  <si>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</si>
  <si>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</si>
  <si>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</si>
  <si>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</si>
  <si>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</si>
  <si>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</si>
  <si>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</si>
  <si>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</si>
  <si>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</si>
  <si>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</si>
  <si>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</si>
  <si>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</si>
  <si>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</si>
  <si>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</si>
  <si>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</si>
  <si>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</si>
  <si>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</si>
  <si>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</si>
  <si>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</si>
  <si>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</si>
  <si>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</si>
  <si>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</si>
  <si>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</si>
  <si>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</si>
  <si>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</si>
  <si>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</si>
  <si>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</si>
  <si>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</si>
  <si>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</si>
  <si>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</si>
  <si>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</si>
  <si>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</si>
  <si>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</si>
  <si>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</si>
  <si>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</si>
  <si>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</si>
  <si>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</si>
  <si>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</si>
  <si>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</si>
  <si>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</si>
  <si>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</si>
  <si>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</si>
  <si>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</si>
  <si>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</si>
  <si>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</si>
  <si>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</si>
  <si>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</si>
  <si>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</si>
  <si>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</si>
  <si>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</si>
  <si>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</si>
  <si>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</si>
  <si>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</si>
  <si>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</si>
  <si>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</si>
  <si>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</si>
  <si>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</si>
  <si>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</si>
  <si>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</si>
  <si>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</si>
  <si>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</si>
  <si>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</si>
  <si>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</si>
  <si>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</si>
  <si>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</si>
  <si>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</si>
  <si>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</si>
  <si>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</si>
  <si>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</si>
  <si>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</si>
  <si>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</si>
  <si>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</si>
  <si>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</si>
  <si>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</si>
  <si>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</si>
  <si>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</si>
  <si>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</si>
  <si>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</si>
  <si>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</si>
  <si>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</si>
  <si>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</si>
  <si>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</si>
  <si>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</si>
  <si>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</si>
  <si>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</si>
  <si>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</si>
  <si>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</si>
  <si>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</si>
  <si>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</si>
  <si>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</si>
  <si>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</si>
  <si>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</si>
  <si>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</si>
  <si>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</si>
  <si>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</si>
  <si>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</si>
  <si>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</si>
  <si>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</si>
  <si>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</si>
  <si>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</si>
  <si>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</si>
  <si>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</si>
  <si>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</si>
  <si>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</si>
  <si>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</si>
  <si>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</si>
  <si>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</si>
  <si>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</si>
  <si>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</si>
  <si>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</si>
  <si>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</si>
  <si>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</si>
  <si>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</si>
  <si>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</si>
  <si>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</si>
  <si>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</si>
  <si>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</si>
  <si>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</si>
  <si>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</si>
  <si>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</si>
  <si>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</si>
  <si>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</si>
  <si>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</si>
  <si>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</si>
  <si>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</si>
  <si>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</si>
  <si>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</si>
  <si>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</si>
  <si>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</si>
  <si>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</si>
  <si>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</si>
  <si>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</si>
  <si>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</si>
  <si>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</si>
  <si>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</si>
  <si>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</si>
  <si>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</si>
  <si>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</si>
  <si>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</si>
  <si>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</si>
  <si>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</si>
  <si>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</si>
  <si>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</si>
  <si>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</si>
  <si>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</si>
  <si>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</si>
  <si>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</si>
  <si>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</si>
  <si>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</si>
  <si>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</si>
  <si>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</si>
  <si>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</si>
  <si>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</si>
  <si>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</si>
  <si>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</si>
  <si>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</si>
  <si>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</si>
  <si>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</si>
  <si>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</si>
  <si>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</si>
  <si>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</si>
  <si>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</si>
  <si>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</si>
  <si>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</si>
  <si>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</si>
  <si>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</si>
  <si>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</si>
  <si>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</si>
  <si>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</si>
  <si>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</si>
  <si>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</si>
  <si>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</si>
  <si>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</si>
  <si>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</si>
  <si>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</si>
  <si>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</si>
  <si>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</si>
  <si>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</si>
  <si>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</si>
  <si>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</si>
  <si>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</si>
  <si>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</si>
  <si>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</si>
  <si>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</si>
  <si>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</si>
  <si>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</si>
  <si>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</si>
  <si>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</si>
  <si>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</si>
  <si>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</si>
  <si>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</si>
  <si>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</si>
  <si>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</si>
  <si>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</si>
  <si>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</si>
  <si>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</si>
  <si>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</si>
  <si>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</si>
  <si>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</si>
  <si>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</si>
  <si>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</si>
  <si>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</si>
  <si>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</si>
  <si>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</si>
  <si>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</si>
  <si>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</si>
  <si>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</si>
  <si>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</si>
  <si>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</si>
  <si>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</si>
  <si>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</si>
  <si>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</si>
  <si>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</si>
  <si>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</si>
  <si>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</si>
  <si>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</si>
  <si>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</si>
  <si>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</si>
  <si>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</si>
  <si>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</si>
  <si>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</si>
  <si>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</si>
  <si>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</si>
  <si>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</si>
  <si>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</si>
  <si>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</si>
  <si>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</si>
  <si>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</si>
  <si>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</si>
  <si>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</si>
  <si>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</si>
  <si>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</si>
  <si>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</si>
  <si>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</si>
  <si>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</si>
  <si>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</si>
  <si>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</si>
  <si>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</si>
  <si>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</si>
  <si>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</si>
  <si>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</si>
  <si>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</si>
  <si>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</si>
  <si>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</si>
  <si>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</si>
  <si>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</si>
  <si>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</si>
  <si>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</si>
  <si>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</si>
  <si>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</si>
  <si>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</si>
  <si>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</si>
  <si>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</si>
  <si>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</si>
  <si>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</si>
  <si>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</si>
  <si>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</si>
  <si>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</si>
  <si>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</si>
  <si>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</si>
  <si>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</si>
  <si>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</si>
  <si>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</si>
  <si>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</si>
  <si>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</si>
  <si>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</si>
  <si>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</si>
  <si>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</si>
  <si>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</si>
  <si>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</si>
  <si>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</si>
  <si>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</si>
  <si>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</si>
  <si>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</si>
  <si>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</si>
  <si>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</si>
  <si>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</si>
  <si>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</si>
  <si>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</si>
  <si>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</si>
  <si>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</si>
  <si>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</si>
  <si>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</si>
  <si>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</si>
  <si>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</si>
  <si>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</si>
  <si>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</si>
  <si>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</si>
  <si>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</si>
  <si>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</si>
  <si>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</si>
  <si>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</si>
  <si>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</si>
  <si>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</si>
  <si>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</si>
  <si>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</si>
  <si>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</si>
  <si>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</si>
  <si>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</si>
  <si>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</si>
  <si>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</si>
  <si>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</si>
  <si>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</si>
  <si>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</si>
  <si>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</si>
  <si>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</si>
  <si>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</si>
  <si>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</si>
  <si>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</si>
  <si>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</si>
  <si>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</si>
  <si>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</si>
  <si>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</si>
  <si>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</si>
  <si>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</si>
  <si>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</si>
  <si>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</si>
  <si>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</si>
  <si>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</si>
  <si>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</si>
  <si>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</si>
  <si>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</si>
  <si>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</si>
  <si>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</si>
  <si>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</si>
  <si>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</si>
  <si>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</si>
  <si>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</si>
  <si>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</si>
  <si>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</si>
  <si>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</si>
  <si>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</si>
  <si>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</si>
  <si>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</si>
  <si>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</si>
  <si>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</si>
  <si>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</si>
  <si>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</si>
  <si>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</si>
  <si>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</si>
  <si>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</si>
  <si>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</si>
  <si>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</si>
  <si>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</si>
  <si>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</si>
  <si>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</si>
  <si>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</si>
  <si>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</si>
  <si>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</si>
  <si>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</si>
  <si>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</si>
  <si>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</si>
  <si>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</si>
  <si>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</si>
  <si>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</si>
  <si>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</si>
  <si>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</si>
  <si>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</si>
  <si>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</si>
  <si>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</si>
  <si>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</si>
  <si>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</si>
  <si>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</si>
  <si>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</si>
  <si>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</si>
  <si>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</si>
  <si>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</si>
  <si>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</si>
  <si>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</si>
  <si>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</si>
  <si>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</si>
  <si>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</si>
  <si>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</si>
  <si>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</si>
  <si>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</si>
  <si>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</si>
  <si>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</si>
  <si>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</si>
  <si>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</si>
  <si>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</si>
  <si>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</si>
  <si>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</si>
  <si>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</si>
  <si>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</si>
  <si>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</si>
  <si>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</si>
  <si>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</si>
  <si>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</si>
  <si>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</si>
  <si>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</si>
  <si>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</si>
  <si>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</si>
  <si>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</si>
  <si>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</si>
  <si>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</si>
  <si>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</si>
  <si>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</si>
  <si>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</si>
  <si>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</si>
  <si>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</si>
  <si>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</si>
  <si>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</si>
  <si>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</si>
  <si>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</si>
  <si>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</si>
  <si>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</si>
  <si>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</si>
  <si>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</si>
  <si>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</si>
  <si>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</si>
  <si>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</si>
  <si>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</si>
  <si>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</si>
  <si>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</si>
  <si>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</si>
  <si>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</si>
  <si>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</si>
  <si>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</si>
  <si>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</si>
  <si>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</si>
  <si>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</si>
  <si>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</si>
  <si>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</si>
  <si>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</si>
  <si>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</si>
  <si>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</si>
  <si>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</si>
  <si>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</si>
  <si>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</si>
  <si>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</si>
  <si>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</si>
  <si>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</si>
  <si>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</si>
  <si>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</si>
  <si>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</si>
  <si>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</si>
  <si>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</si>
  <si>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</si>
  <si>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</si>
  <si>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</si>
  <si>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</si>
  <si>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</si>
  <si>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</si>
  <si>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</si>
  <si>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</si>
  <si>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</si>
  <si>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</si>
  <si>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</si>
  <si>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</si>
  <si>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</si>
  <si>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</si>
  <si>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</si>
  <si>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</si>
  <si>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</si>
  <si>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</si>
  <si>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</si>
  <si>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</si>
  <si>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</si>
  <si>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</si>
  <si>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</si>
  <si>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</si>
  <si>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</si>
  <si>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</si>
  <si>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</si>
  <si>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</si>
  <si>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</si>
  <si>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</si>
  <si>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</si>
  <si>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</si>
  <si>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</si>
  <si>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</si>
  <si>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</si>
  <si>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</si>
  <si>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</si>
  <si>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</si>
  <si>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</si>
  <si>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</si>
  <si>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</si>
  <si>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</si>
  <si>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</si>
  <si>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</si>
  <si>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</si>
  <si>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</si>
  <si>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</si>
  <si>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</si>
  <si>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</si>
  <si>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</si>
  <si>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</si>
  <si>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</si>
  <si>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</si>
  <si>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</si>
  <si>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</si>
  <si>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</si>
  <si>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</si>
  <si>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</si>
  <si>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</si>
  <si>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</si>
  <si>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</si>
  <si>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</si>
  <si>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</si>
  <si>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</si>
  <si>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</si>
  <si>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</si>
  <si>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</si>
  <si>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</si>
  <si>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</si>
  <si>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</si>
  <si>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</si>
  <si>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</si>
  <si>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</si>
  <si>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</si>
  <si>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</si>
  <si>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</si>
  <si>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</si>
  <si>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</si>
  <si>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</si>
  <si>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</si>
  <si>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</si>
  <si>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</si>
  <si>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</si>
  <si>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</si>
  <si>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</si>
  <si>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</si>
  <si>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</si>
  <si>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</si>
  <si>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</si>
  <si>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</si>
  <si>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</si>
  <si>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</si>
  <si>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</si>
  <si>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</si>
  <si>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</si>
  <si>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</si>
  <si>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</si>
  <si>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</si>
  <si>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</si>
  <si>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</si>
  <si>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</si>
  <si>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</si>
  <si>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</si>
  <si>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</si>
  <si>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</si>
  <si>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</si>
  <si>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</si>
  <si>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</si>
  <si>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</si>
  <si>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</si>
  <si>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</si>
  <si>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</si>
  <si>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</si>
  <si>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</si>
  <si>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</si>
  <si>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</si>
  <si>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</si>
  <si>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</si>
  <si>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</si>
  <si>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</si>
  <si>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</si>
  <si>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</si>
  <si>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</si>
  <si>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</si>
  <si>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</si>
  <si>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</si>
  <si>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</si>
  <si>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</si>
  <si>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</si>
  <si>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</si>
  <si>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</si>
  <si>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</si>
  <si>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</si>
  <si>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</si>
  <si>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</si>
  <si>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</si>
  <si>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</si>
  <si>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</si>
  <si>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</si>
  <si>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</si>
  <si>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</si>
  <si>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</si>
  <si>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</si>
  <si>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</si>
  <si>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</si>
  <si>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</si>
  <si>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</si>
  <si>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</si>
  <si>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</si>
  <si>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</si>
  <si>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</si>
  <si>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</si>
  <si>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</si>
  <si>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</si>
  <si>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</si>
  <si>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</si>
  <si>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</si>
  <si>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</si>
  <si>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</si>
  <si>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</si>
  <si>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</si>
  <si>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</si>
  <si>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</si>
  <si>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</si>
  <si>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</si>
  <si>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</si>
  <si>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</si>
  <si>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</si>
  <si>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</si>
  <si>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</si>
  <si>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</si>
  <si>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</si>
  <si>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</si>
  <si>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</si>
  <si>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</si>
  <si>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</si>
  <si>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</si>
  <si>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</si>
  <si>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</si>
  <si>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</si>
  <si>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</si>
  <si>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</si>
  <si>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</si>
  <si>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</si>
  <si>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</si>
  <si>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</si>
  <si>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</si>
  <si>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</si>
  <si>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</si>
  <si>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</si>
  <si>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</si>
  <si>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</si>
  <si>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</si>
  <si>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</si>
  <si>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</si>
  <si>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</si>
  <si>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</si>
  <si>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</si>
  <si>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</si>
  <si>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</si>
  <si>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</si>
  <si>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</si>
  <si>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</si>
  <si>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</si>
  <si>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</si>
  <si>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</si>
  <si>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</si>
  <si>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</si>
  <si>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</si>
  <si>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</si>
  <si>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</si>
  <si>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</si>
  <si>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</si>
  <si>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</si>
  <si>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</si>
  <si>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</si>
  <si>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</si>
  <si>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</si>
  <si>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</si>
  <si>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</si>
  <si>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</si>
  <si>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</si>
  <si>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</si>
  <si>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</si>
  <si>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</si>
  <si>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</si>
  <si>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</si>
  <si>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</si>
  <si>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</si>
  <si>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</si>
  <si>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</si>
  <si>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</si>
  <si>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</si>
  <si>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</si>
  <si>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</si>
  <si>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</si>
  <si>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</si>
  <si>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</si>
  <si>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</si>
  <si>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</si>
  <si>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</si>
  <si>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</si>
  <si>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</si>
  <si>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</si>
  <si>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</si>
  <si>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</si>
  <si>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</si>
  <si>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</si>
  <si>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</si>
  <si>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</si>
  <si>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</si>
  <si>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</si>
  <si>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</si>
  <si>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</si>
  <si>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</si>
  <si>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</si>
  <si>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</si>
  <si>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</si>
  <si>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</si>
  <si>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</si>
  <si>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</si>
  <si>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</si>
  <si>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</si>
  <si>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</si>
  <si>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</si>
  <si>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</si>
  <si>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</si>
  <si>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</si>
  <si>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</si>
  <si>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</si>
  <si>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</si>
  <si>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</si>
  <si>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</si>
  <si>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</si>
  <si>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</si>
  <si>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</si>
  <si>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</si>
  <si>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</si>
  <si>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</si>
  <si>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</si>
  <si>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</si>
  <si>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</si>
  <si>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</si>
  <si>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</si>
  <si>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</si>
  <si>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</si>
  <si>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</si>
  <si>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</si>
  <si>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</si>
  <si>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</si>
  <si>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</si>
  <si>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</si>
  <si>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</si>
  <si>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</si>
  <si>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</si>
  <si>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</si>
  <si>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</si>
  <si>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</si>
  <si>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</si>
  <si>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</si>
  <si>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</si>
  <si>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</si>
  <si>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</si>
  <si>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</si>
  <si>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</si>
  <si>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</si>
  <si>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</si>
  <si>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</si>
  <si>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</si>
  <si>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</si>
  <si>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</si>
  <si>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</si>
  <si>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</si>
  <si>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</si>
  <si>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</si>
  <si>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</si>
  <si>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</si>
  <si>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</si>
  <si>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</si>
  <si>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</si>
  <si>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</si>
  <si>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</si>
  <si>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</si>
  <si>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</si>
  <si>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</si>
  <si>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</si>
  <si>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</si>
  <si>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</si>
  <si>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</si>
  <si>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</si>
  <si>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</si>
  <si>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</si>
  <si>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</si>
  <si>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</si>
  <si>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</si>
  <si>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</si>
  <si>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</si>
  <si>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</si>
  <si>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</si>
  <si>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</si>
  <si>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</si>
  <si>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</si>
  <si>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</si>
  <si>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</si>
  <si>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</si>
  <si>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</si>
  <si>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</si>
  <si>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</si>
  <si>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</si>
  <si>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</si>
  <si>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</si>
  <si>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</si>
  <si>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</si>
  <si>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</si>
  <si>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</si>
  <si>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</si>
  <si>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</si>
  <si>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</si>
  <si>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</si>
  <si>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</si>
  <si>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</si>
  <si>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</si>
  <si>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</si>
  <si>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</si>
  <si>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</si>
  <si>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</si>
  <si>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</si>
  <si>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</si>
  <si>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</si>
  <si>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</si>
  <si>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</si>
  <si>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</si>
  <si>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</si>
  <si>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</si>
  <si>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</si>
  <si>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</si>
  <si>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</si>
  <si>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</si>
  <si>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</si>
  <si>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</si>
  <si>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</si>
  <si>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</si>
  <si>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</si>
  <si>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</si>
  <si>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</si>
  <si>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</si>
  <si>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</si>
  <si>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</si>
  <si>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</si>
  <si>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</si>
  <si>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</si>
  <si>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</si>
  <si>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</si>
  <si>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</si>
  <si>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</si>
  <si>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</si>
  <si>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</si>
  <si>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</si>
  <si>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</si>
  <si>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</si>
  <si>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</si>
  <si>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</si>
  <si>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</si>
  <si>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</si>
  <si>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</si>
  <si>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</si>
  <si>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</si>
  <si>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</si>
  <si>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</si>
  <si>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</si>
  <si>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</si>
  <si>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</si>
  <si>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</si>
  <si>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</si>
  <si>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</si>
  <si>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</si>
  <si>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</si>
  <si>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</si>
  <si>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</si>
  <si>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</si>
  <si>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</si>
  <si>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</si>
  <si>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</si>
  <si>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</si>
  <si>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</si>
  <si>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</si>
  <si>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</si>
  <si>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</si>
  <si>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</si>
  <si>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</si>
  <si>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</si>
  <si>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</si>
  <si>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</si>
  <si>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</si>
  <si>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</si>
  <si>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</si>
  <si>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</si>
  <si>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</si>
  <si>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</si>
  <si>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</si>
  <si>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</si>
  <si>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</si>
  <si>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</si>
  <si>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</si>
  <si>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</si>
  <si>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</si>
  <si>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</si>
  <si>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</si>
  <si>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</si>
  <si>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</si>
  <si>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</si>
  <si>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</si>
  <si>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</si>
  <si>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</si>
  <si>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</si>
  <si>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</si>
  <si>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</si>
  <si>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</si>
  <si>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</si>
  <si>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</si>
  <si>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</si>
  <si>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</si>
  <si>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</si>
  <si>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</si>
  <si>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</si>
  <si>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</si>
  <si>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</si>
  <si>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</si>
  <si>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</si>
  <si>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</si>
  <si>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</si>
  <si>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</si>
  <si>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</si>
  <si>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</si>
  <si>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</si>
  <si>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</si>
  <si>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</si>
  <si>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</si>
  <si>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</si>
  <si>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</si>
  <si>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</si>
  <si>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</si>
  <si>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</si>
  <si>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</si>
  <si>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</si>
  <si>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</si>
  <si>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</si>
  <si>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</si>
  <si>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</si>
  <si>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</si>
  <si>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</si>
  <si>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</si>
  <si>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</si>
  <si>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</si>
  <si>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</si>
  <si>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</si>
  <si>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</si>
  <si>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</si>
  <si>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</si>
  <si>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</si>
  <si>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</si>
  <si>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</si>
  <si>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</si>
  <si>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</si>
  <si>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</si>
  <si>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</si>
  <si>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</si>
  <si>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</si>
  <si>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</si>
  <si>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</si>
  <si>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</si>
  <si>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</si>
  <si>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</si>
  <si>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</si>
  <si>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</si>
  <si>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</si>
  <si>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</si>
  <si>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</si>
  <si>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</si>
  <si>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</si>
  <si>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</si>
  <si>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</si>
  <si>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</si>
  <si>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</si>
  <si>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</si>
  <si>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</si>
  <si>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</si>
  <si>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</si>
  <si>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</si>
  <si>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</si>
  <si>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</si>
  <si>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</si>
  <si>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</si>
  <si>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</si>
  <si>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</si>
  <si>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</si>
  <si>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</si>
  <si>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</si>
  <si>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</si>
  <si>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</si>
  <si>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</si>
  <si>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</si>
  <si>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</si>
  <si>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</si>
  <si>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</si>
  <si>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</si>
  <si>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</si>
  <si>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</si>
  <si>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</si>
  <si>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</si>
  <si>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</si>
  <si>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</si>
  <si>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</si>
  <si>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</si>
  <si>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</si>
  <si>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</si>
  <si>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</si>
  <si>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</si>
  <si>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</si>
  <si>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</si>
  <si>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</si>
  <si>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</si>
  <si>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</si>
  <si>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</si>
  <si>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</si>
  <si>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</si>
  <si>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</si>
  <si>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</si>
  <si>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</si>
  <si>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</si>
  <si>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</si>
  <si>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</si>
  <si>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</si>
  <si>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</si>
  <si>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</si>
  <si>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</si>
  <si>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</si>
  <si>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</si>
  <si>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</si>
  <si>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</si>
  <si>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</si>
  <si>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</si>
  <si>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</si>
  <si>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</si>
  <si>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</si>
  <si>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</si>
  <si>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</si>
  <si>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</si>
  <si>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</si>
  <si>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</si>
  <si>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</si>
  <si>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</si>
  <si>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</si>
  <si>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</si>
  <si>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</si>
  <si>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</si>
  <si>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</si>
  <si>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</si>
  <si>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</si>
  <si>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</si>
  <si>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</si>
  <si>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</si>
  <si>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</si>
  <si>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</si>
  <si>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</si>
  <si>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</si>
  <si>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</si>
  <si>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</si>
  <si>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</si>
  <si>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</si>
  <si>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</si>
  <si>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</si>
  <si>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</si>
  <si>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</si>
  <si>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</si>
  <si>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</si>
  <si>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</si>
  <si>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</si>
  <si>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</si>
  <si>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</si>
  <si>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</si>
  <si>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</si>
  <si>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</si>
  <si>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</si>
  <si>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</si>
  <si>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</si>
  <si>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</si>
  <si>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</si>
  <si>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</si>
  <si>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</si>
  <si>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</si>
  <si>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</si>
  <si>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</si>
  <si>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</si>
  <si>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</si>
  <si>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</si>
  <si>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</si>
  <si>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</si>
  <si>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</si>
  <si>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</si>
  <si>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</si>
  <si>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</si>
  <si>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</si>
  <si>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</si>
  <si>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</si>
  <si>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</si>
  <si>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</si>
  <si>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</si>
  <si>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</si>
  <si>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</si>
  <si>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</si>
  <si>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</si>
  <si>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</si>
  <si>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</si>
  <si>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</si>
  <si>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</si>
  <si>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</si>
  <si>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</si>
  <si>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</si>
  <si>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</si>
  <si>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</si>
  <si>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</si>
  <si>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</si>
  <si>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</si>
  <si>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</si>
  <si>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</si>
  <si>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</si>
  <si>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</si>
  <si>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</si>
  <si>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</si>
  <si>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</si>
  <si>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</si>
  <si>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</si>
  <si>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</si>
  <si>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</si>
  <si>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</si>
  <si>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</si>
  <si>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</si>
  <si>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</si>
  <si>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</si>
  <si>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</si>
  <si>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</si>
  <si>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</si>
  <si>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</si>
  <si>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</si>
  <si>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</si>
  <si>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</si>
  <si>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</si>
  <si>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</si>
  <si>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</si>
  <si>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</si>
  <si>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</si>
  <si>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</si>
  <si>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</si>
  <si>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</si>
  <si>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</si>
  <si>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</si>
  <si>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</si>
  <si>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</si>
  <si>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</si>
  <si>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</si>
  <si>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</si>
  <si>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</si>
  <si>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</si>
  <si>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</si>
  <si>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</si>
  <si>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</si>
  <si>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</si>
  <si>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</si>
  <si>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</si>
  <si>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</si>
  <si>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</si>
  <si>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</si>
  <si>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</si>
  <si>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</si>
  <si>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</si>
  <si>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</si>
  <si>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</si>
  <si>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</si>
  <si>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</si>
  <si>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</si>
  <si>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</si>
  <si>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</si>
  <si>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</si>
  <si>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</si>
  <si>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</si>
  <si>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</si>
  <si>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</si>
  <si>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</si>
  <si>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</si>
  <si>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</si>
  <si>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</si>
  <si>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</si>
  <si>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</si>
  <si>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</si>
  <si>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</si>
  <si>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</si>
  <si>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</si>
  <si>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</si>
  <si>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</si>
  <si>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</si>
  <si>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</si>
  <si>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</si>
  <si>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</si>
  <si>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</si>
  <si>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</si>
  <si>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</si>
  <si>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</si>
  <si>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</si>
  <si>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</si>
  <si>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</si>
  <si>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</si>
  <si>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</si>
  <si>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</si>
  <si>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</si>
  <si>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</si>
  <si>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</si>
  <si>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</si>
  <si>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</si>
  <si>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</si>
  <si>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</si>
  <si>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</si>
  <si>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</si>
  <si>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</si>
  <si>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</si>
  <si>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</si>
  <si>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</si>
  <si>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</si>
  <si>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</si>
  <si>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</si>
  <si>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</si>
  <si>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</si>
  <si>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</si>
  <si>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</si>
  <si>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</si>
  <si>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</si>
  <si>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</si>
  <si>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</si>
  <si>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</si>
  <si>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</si>
  <si>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</si>
  <si>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</si>
  <si>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</si>
  <si>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</si>
  <si>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</si>
  <si>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</si>
  <si>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</si>
  <si>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</si>
  <si>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</si>
  <si>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</si>
  <si>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</si>
  <si>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</si>
  <si>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</si>
  <si>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</si>
  <si>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</si>
  <si>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</si>
  <si>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</si>
  <si>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</si>
  <si>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</si>
  <si>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</si>
  <si>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</si>
  <si>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</si>
  <si>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</si>
  <si>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</si>
  <si>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</si>
  <si>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</si>
  <si>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</si>
  <si>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</si>
  <si>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</si>
  <si>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</si>
  <si>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</si>
  <si>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</si>
  <si>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</si>
  <si>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</si>
  <si>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</si>
  <si>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</si>
  <si>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</si>
  <si>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</si>
  <si>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</si>
  <si>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</si>
  <si>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</si>
  <si>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</si>
  <si>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</si>
  <si>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</si>
  <si>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</si>
  <si>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</si>
  <si>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</si>
  <si>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</si>
  <si>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</si>
  <si>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</si>
  <si>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</si>
  <si>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</si>
  <si>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</si>
  <si>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</si>
  <si>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</si>
  <si>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</si>
  <si>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</si>
  <si>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</si>
  <si>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</si>
  <si>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</si>
  <si>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</si>
  <si>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</si>
  <si>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</si>
  <si>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</si>
  <si>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</si>
  <si>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</si>
  <si>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</si>
  <si>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</si>
  <si>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</si>
  <si>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</si>
  <si>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</si>
  <si>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</si>
  <si>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</si>
  <si>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</si>
  <si>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</si>
  <si>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</si>
  <si>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</si>
  <si>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</si>
  <si>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</si>
  <si>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</si>
  <si>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</si>
  <si>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</si>
  <si>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</si>
  <si>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</si>
  <si>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</si>
  <si>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</si>
  <si>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</si>
  <si>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</si>
  <si>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</si>
  <si>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</si>
  <si>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</si>
  <si>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</si>
  <si>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</si>
  <si>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</si>
  <si>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</si>
  <si>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</si>
  <si>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</si>
  <si>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</si>
  <si>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</si>
  <si>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</si>
  <si>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</si>
  <si>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</si>
  <si>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</si>
  <si>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</si>
  <si>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</si>
  <si>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</si>
  <si>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</si>
  <si>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</si>
  <si>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</si>
  <si>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</si>
  <si>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</si>
  <si>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</si>
  <si>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</si>
  <si>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</si>
  <si>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</si>
  <si>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</si>
  <si>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</si>
  <si>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</si>
  <si>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</si>
  <si>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</si>
  <si>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</si>
  <si>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</si>
  <si>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</si>
  <si>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</si>
  <si>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</si>
  <si>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</si>
  <si>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</si>
  <si>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</si>
  <si>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</si>
  <si>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</si>
  <si>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</si>
  <si>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</si>
  <si>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</si>
  <si>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</si>
  <si>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</si>
  <si>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</si>
  <si>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</si>
  <si>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</si>
  <si>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</si>
  <si>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</si>
  <si>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</si>
  <si>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</si>
  <si>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</si>
  <si>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</si>
  <si>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</si>
  <si>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</si>
  <si>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</si>
  <si>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</si>
  <si>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</si>
  <si>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</si>
  <si>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</si>
  <si>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</si>
  <si>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</si>
  <si>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</si>
  <si>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</si>
  <si>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</si>
  <si>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</si>
  <si>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</si>
  <si>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</si>
  <si>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</si>
  <si>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</si>
  <si>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</si>
  <si>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</si>
  <si>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</si>
  <si>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</si>
  <si>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</si>
  <si>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</si>
  <si>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</si>
  <si>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</si>
  <si>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</si>
  <si>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</si>
  <si>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</si>
  <si>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</si>
  <si>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</si>
  <si>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</si>
  <si>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</si>
  <si>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</si>
  <si>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</si>
  <si>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</si>
  <si>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</si>
  <si>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</si>
  <si>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</si>
  <si>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</si>
  <si>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</si>
  <si>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</si>
  <si>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</si>
  <si>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</si>
  <si>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</si>
  <si>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</si>
  <si>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</si>
  <si>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</si>
  <si>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</si>
  <si>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</si>
  <si>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</si>
  <si>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</si>
  <si>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</si>
  <si>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</si>
  <si>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</si>
  <si>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</si>
  <si>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</si>
  <si>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</si>
  <si>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</si>
  <si>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</si>
  <si>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</si>
  <si>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</si>
  <si>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</si>
  <si>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</si>
  <si>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</si>
  <si>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</si>
  <si>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</si>
  <si>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</si>
  <si>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</si>
  <si>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</si>
  <si>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</si>
  <si>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</si>
  <si>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</si>
  <si>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</si>
  <si>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</si>
  <si>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</si>
  <si>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</si>
  <si>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</si>
  <si>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</si>
  <si>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</si>
  <si>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</si>
  <si>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</si>
  <si>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</si>
  <si>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</si>
  <si>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</si>
  <si>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</si>
  <si>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</si>
  <si>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</si>
  <si>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</si>
  <si>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</si>
  <si>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</si>
  <si>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</si>
  <si>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</si>
  <si>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</si>
  <si>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</si>
  <si>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</si>
  <si>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</si>
  <si>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</si>
  <si>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</si>
  <si>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</si>
  <si>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</si>
  <si>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</si>
  <si>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</si>
  <si>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</si>
  <si>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</si>
  <si>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</si>
  <si>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</si>
  <si>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</si>
  <si>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</si>
  <si>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</si>
  <si>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</si>
  <si>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</si>
  <si>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</si>
  <si>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</si>
  <si>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</si>
  <si>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</si>
  <si>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</si>
  <si>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</si>
  <si>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</si>
  <si>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</si>
  <si>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</si>
  <si>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</si>
  <si>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</si>
  <si>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</si>
  <si>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</si>
  <si>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</si>
  <si>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</si>
  <si>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</si>
  <si>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</si>
  <si>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</si>
  <si>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</si>
  <si>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</si>
  <si>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</si>
  <si>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</si>
  <si>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</si>
  <si>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</si>
  <si>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</si>
  <si>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</si>
  <si>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</si>
  <si>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</si>
  <si>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</si>
  <si>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</si>
  <si>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</si>
  <si>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</si>
  <si>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</si>
  <si>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</si>
  <si>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</si>
  <si>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</si>
  <si>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</si>
  <si>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</si>
  <si>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</si>
  <si>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</si>
  <si>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</si>
  <si>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</si>
  <si>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</si>
  <si>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</si>
  <si>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</si>
  <si>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</si>
  <si>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</si>
  <si>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</si>
  <si>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</si>
  <si>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</si>
  <si>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</si>
  <si>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</si>
  <si>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</si>
  <si>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</si>
  <si>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</si>
  <si>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</si>
  <si>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</si>
  <si>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</si>
  <si>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</si>
  <si>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</si>
  <si>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</si>
  <si>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</si>
  <si>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</si>
  <si>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</si>
  <si>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</si>
  <si>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</si>
  <si>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</si>
  <si>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</si>
  <si>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</si>
  <si>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</si>
  <si>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</si>
  <si>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</si>
  <si>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</si>
  <si>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</si>
  <si>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</si>
  <si>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</si>
  <si>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</si>
  <si>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</si>
  <si>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</si>
  <si>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</si>
  <si>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</si>
  <si>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</si>
  <si>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</si>
  <si>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</si>
  <si>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</si>
  <si>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</si>
  <si>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</si>
  <si>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</si>
  <si>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</si>
  <si>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</si>
  <si>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</si>
  <si>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</si>
  <si>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</si>
  <si>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</si>
  <si>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</si>
  <si>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</si>
  <si>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</si>
  <si>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</si>
  <si>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</si>
  <si>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</si>
  <si>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</si>
  <si>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</si>
  <si>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</si>
  <si>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</si>
  <si>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</si>
  <si>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</si>
  <si>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</si>
  <si>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</si>
  <si>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</si>
  <si>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</si>
  <si>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</si>
  <si>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</si>
  <si>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</si>
  <si>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</si>
  <si>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</si>
  <si>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</si>
  <si>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</si>
  <si>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</si>
  <si>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</si>
  <si>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</si>
  <si>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</si>
  <si>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</si>
  <si>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</si>
  <si>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</si>
  <si>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</si>
  <si>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</si>
  <si>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</si>
  <si>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</si>
  <si>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</si>
  <si>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</si>
  <si>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</si>
  <si>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</si>
  <si>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</si>
  <si>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</si>
  <si>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</si>
  <si>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</si>
  <si>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</si>
  <si>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</si>
  <si>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</si>
  <si>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</si>
  <si>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</si>
  <si>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</si>
  <si>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</si>
  <si>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</si>
  <si>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</si>
  <si>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</si>
  <si>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</si>
  <si>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</si>
  <si>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</si>
  <si>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</si>
  <si>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</si>
  <si>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</si>
  <si>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</si>
  <si>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</si>
  <si>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</si>
  <si>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</si>
  <si>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</si>
  <si>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</si>
  <si>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</si>
  <si>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</si>
  <si>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</si>
  <si>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</si>
  <si>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</si>
  <si>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</si>
  <si>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</si>
  <si>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</si>
  <si>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</si>
  <si>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</si>
  <si>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</si>
  <si>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</si>
  <si>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</si>
  <si>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</si>
  <si>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</si>
  <si>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</si>
  <si>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</si>
  <si>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</si>
  <si>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</si>
  <si>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</si>
  <si>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</si>
  <si>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</si>
  <si>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</si>
  <si>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</si>
  <si>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</si>
  <si>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</si>
  <si>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</si>
  <si>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</si>
  <si>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</si>
  <si>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</si>
  <si>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</si>
  <si>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</si>
  <si>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</si>
  <si>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</si>
  <si>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</si>
  <si>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</si>
  <si>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</si>
  <si>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</si>
  <si>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</si>
  <si>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</si>
  <si>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</si>
  <si>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</si>
  <si>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</si>
  <si>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</si>
  <si>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</si>
  <si>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</si>
  <si>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</si>
  <si>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</si>
  <si>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</si>
  <si>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</si>
  <si>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</si>
  <si>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</si>
  <si>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</si>
  <si>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</si>
  <si>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</si>
  <si>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</si>
  <si>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</si>
  <si>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</si>
  <si>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</si>
  <si>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</si>
  <si>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</si>
  <si>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</si>
  <si>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</si>
  <si>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</si>
  <si>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</si>
  <si>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</si>
  <si>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</si>
  <si>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</si>
  <si>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</si>
  <si>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</si>
  <si>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</si>
  <si>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</si>
  <si>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</si>
  <si>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</si>
  <si>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</si>
  <si>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</si>
  <si>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</si>
  <si>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</si>
  <si>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</si>
  <si>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</si>
  <si>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</si>
  <si>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</si>
  <si>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</si>
  <si>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</si>
  <si>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</si>
  <si>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</si>
  <si>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</si>
  <si>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</si>
  <si>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</si>
  <si>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</si>
  <si>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</si>
  <si>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</si>
  <si>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</si>
  <si>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</si>
  <si>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</si>
  <si>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</si>
  <si>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</si>
  <si>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</si>
  <si>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</si>
  <si>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</si>
  <si>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</si>
  <si>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</si>
  <si>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</si>
  <si>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</si>
  <si>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</si>
  <si>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</si>
  <si>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</si>
  <si>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</si>
  <si>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</si>
  <si>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</si>
  <si>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</si>
  <si>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</si>
  <si>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</si>
  <si>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</si>
  <si>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</si>
  <si>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</si>
  <si>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</si>
  <si>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</si>
  <si>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</si>
  <si>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</si>
  <si>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</si>
  <si>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</si>
  <si>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</si>
  <si>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</si>
  <si>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</si>
  <si>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</si>
  <si>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</si>
  <si>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</si>
  <si>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</si>
  <si>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</si>
  <si>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</si>
  <si>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</si>
  <si>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</si>
  <si>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</si>
  <si>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</si>
  <si>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</si>
  <si>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</si>
  <si>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</si>
  <si>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</si>
  <si>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</si>
  <si>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</si>
  <si>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</si>
  <si>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</si>
  <si>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</si>
  <si>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</si>
  <si>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</si>
  <si>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</si>
  <si>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</si>
  <si>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</si>
  <si>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</si>
  <si>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</si>
  <si>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</si>
  <si>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</si>
  <si>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</si>
  <si>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</si>
  <si>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</si>
  <si>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</si>
  <si>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</si>
  <si>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</si>
  <si>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</si>
  <si>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</si>
  <si>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</si>
  <si>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</si>
  <si>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</si>
  <si>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</si>
  <si>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</si>
  <si>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</si>
  <si>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</si>
  <si>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</si>
  <si>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</si>
  <si>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</si>
  <si>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</si>
  <si>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</si>
  <si>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</si>
  <si>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</si>
  <si>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</si>
  <si>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</si>
  <si>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</si>
  <si>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</si>
  <si>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</si>
  <si>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</si>
  <si>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</si>
  <si>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</si>
  <si>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</si>
  <si>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</si>
  <si>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</si>
  <si>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</si>
  <si>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</si>
  <si>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</si>
  <si>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</si>
  <si>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</si>
  <si>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</si>
  <si>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</si>
  <si>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</si>
  <si>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</si>
  <si>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</si>
  <si>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</si>
  <si>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</si>
  <si>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</si>
  <si>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</si>
  <si>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</si>
  <si>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</si>
  <si>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</si>
  <si>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</si>
  <si>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</si>
  <si>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</si>
  <si>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</si>
  <si>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</si>
  <si>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</si>
  <si>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</si>
  <si>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</si>
  <si>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</si>
  <si>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</si>
  <si>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</si>
  <si>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</si>
  <si>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</si>
  <si>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</si>
  <si>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</si>
  <si>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</si>
  <si>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</si>
  <si>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</si>
  <si>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</si>
  <si>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</si>
  <si>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</si>
  <si>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</si>
  <si>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</si>
  <si>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</si>
  <si>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</si>
  <si>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</si>
  <si>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</si>
  <si>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</si>
  <si>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</si>
  <si>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</si>
  <si>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</si>
  <si>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</si>
  <si>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</si>
  <si>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</si>
  <si>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</si>
  <si>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</si>
  <si>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</si>
  <si>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</si>
  <si>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</si>
  <si>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</si>
  <si>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</si>
  <si>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</si>
  <si>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</si>
  <si>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</si>
  <si>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</si>
  <si>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</si>
  <si>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</si>
  <si>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</si>
  <si>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</si>
  <si>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</si>
  <si>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</si>
  <si>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</si>
  <si>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</si>
  <si>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</si>
  <si>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</si>
  <si>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</si>
  <si>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</si>
  <si>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</si>
  <si>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</si>
  <si>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</si>
  <si>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</si>
  <si>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</si>
  <si>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</si>
  <si>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</si>
  <si>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</si>
  <si>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</si>
  <si>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</si>
  <si>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</si>
  <si>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</si>
  <si>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</si>
  <si>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</si>
  <si>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</si>
  <si>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</si>
  <si>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</si>
  <si>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</si>
  <si>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</si>
  <si>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</si>
  <si>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</si>
  <si>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</si>
  <si>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</si>
  <si>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</si>
  <si>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</si>
  <si>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</si>
  <si>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</si>
  <si>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</si>
  <si>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</si>
  <si>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</si>
  <si>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</si>
  <si>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</si>
  <si>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</si>
  <si>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</si>
  <si>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</si>
  <si>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</si>
  <si>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</si>
  <si>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</si>
  <si>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</si>
  <si>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</si>
  <si>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</si>
  <si>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</si>
  <si>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</si>
  <si>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</si>
  <si>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</si>
  <si>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</si>
  <si>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</si>
  <si>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</si>
  <si>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</si>
  <si>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</si>
  <si>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</si>
  <si>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</si>
  <si>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</si>
  <si>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</si>
  <si>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</si>
  <si>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</si>
  <si>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</si>
  <si>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</si>
  <si>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</si>
  <si>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</si>
  <si>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</si>
  <si>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</si>
  <si>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</si>
  <si>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</si>
  <si>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</si>
  <si>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</si>
  <si>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</si>
  <si>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</si>
  <si>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</si>
  <si>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</si>
  <si>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</si>
  <si>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</si>
  <si>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</si>
  <si>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</si>
  <si>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</si>
  <si>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</si>
  <si>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</si>
  <si>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</si>
  <si>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</si>
  <si>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</si>
  <si>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</si>
  <si>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</si>
  <si>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</si>
  <si>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</si>
  <si>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</si>
  <si>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</si>
  <si>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</si>
  <si>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</si>
  <si>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</si>
  <si>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</si>
  <si>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</si>
  <si>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</si>
  <si>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</si>
  <si>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</si>
  <si>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</si>
  <si>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</si>
  <si>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</si>
  <si>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</si>
  <si>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</si>
  <si>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</si>
  <si>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</si>
  <si>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</si>
  <si>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</si>
  <si>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</si>
  <si>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</si>
  <si>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</si>
  <si>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</si>
  <si>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</si>
  <si>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</si>
  <si>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</si>
  <si>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</si>
  <si>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</si>
  <si>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</si>
  <si>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</si>
  <si>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</si>
  <si>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</si>
  <si>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</si>
  <si>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</si>
  <si>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</si>
  <si>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</si>
  <si>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</si>
  <si>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</si>
  <si>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</si>
  <si>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</si>
  <si>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</si>
  <si>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</si>
  <si>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</si>
  <si>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</si>
  <si>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</si>
  <si>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</si>
  <si>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</si>
  <si>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</si>
  <si>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</si>
  <si>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</si>
  <si>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</si>
  <si>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</si>
  <si>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</si>
  <si>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</si>
  <si>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</si>
  <si>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</si>
  <si>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</si>
  <si>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</si>
  <si>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</si>
  <si>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</si>
  <si>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</si>
  <si>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</si>
  <si>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</si>
  <si>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</si>
  <si>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</si>
  <si>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</si>
  <si>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</si>
  <si>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</si>
  <si>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</si>
  <si>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</si>
  <si>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</si>
  <si>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</si>
  <si>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</si>
  <si>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</si>
  <si>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</si>
  <si>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</si>
  <si>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</si>
  <si>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</si>
  <si>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</si>
  <si>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</si>
  <si>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</si>
  <si>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</si>
  <si>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</si>
  <si>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</si>
  <si>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</si>
  <si>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</si>
  <si>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</si>
  <si>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</si>
  <si>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</si>
  <si>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</si>
  <si>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</si>
  <si>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</si>
  <si>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</si>
  <si>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</si>
  <si>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</si>
  <si>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</si>
  <si>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</si>
  <si>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</si>
  <si>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</si>
  <si>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</si>
  <si>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</si>
  <si>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</si>
  <si>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</si>
  <si>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</si>
  <si>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</si>
  <si>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</si>
  <si>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</si>
  <si>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</si>
  <si>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</si>
  <si>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</si>
  <si>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</si>
  <si>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</si>
  <si>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</si>
  <si>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</si>
  <si>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</si>
  <si>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</si>
  <si>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</si>
  <si>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</si>
  <si>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</si>
  <si>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</si>
  <si>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</si>
  <si>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</si>
  <si>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</si>
  <si>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</si>
  <si>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</si>
  <si>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</si>
  <si>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</si>
  <si>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</si>
  <si>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</si>
  <si>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</si>
  <si>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</si>
  <si>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</si>
  <si>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</si>
  <si>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</si>
  <si>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</si>
  <si>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</si>
  <si>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</si>
  <si>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</si>
  <si>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</si>
  <si>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</si>
  <si>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</si>
  <si>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</si>
  <si>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</si>
  <si>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</si>
  <si>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</si>
  <si>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</si>
  <si>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</si>
  <si>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</si>
  <si>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</si>
  <si>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</si>
  <si>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</si>
  <si>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</si>
  <si>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</si>
  <si>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</si>
  <si>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</si>
  <si>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</si>
  <si>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</si>
  <si>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</si>
  <si>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</si>
  <si>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</si>
  <si>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</si>
  <si>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</si>
  <si>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</si>
  <si>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</si>
  <si>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</si>
  <si>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</si>
  <si>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</si>
  <si>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</si>
  <si>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</si>
  <si>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</si>
  <si>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</si>
  <si>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</si>
  <si>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</si>
  <si>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</si>
  <si>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</si>
  <si>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</si>
  <si>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</si>
  <si>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</si>
  <si>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</si>
  <si>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</si>
  <si>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</si>
  <si>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</si>
  <si>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</si>
  <si>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</si>
  <si>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</si>
  <si>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</si>
  <si>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</si>
  <si>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</si>
  <si>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</si>
  <si>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</si>
  <si>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</si>
  <si>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</si>
  <si>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</si>
  <si>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</si>
  <si>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</si>
  <si>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</si>
  <si>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</si>
  <si>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</si>
  <si>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</si>
  <si>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</si>
  <si>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</si>
  <si>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</si>
  <si>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</si>
  <si>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</si>
  <si>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</si>
  <si>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</si>
  <si>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</si>
  <si>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</si>
  <si>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</si>
  <si>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</si>
  <si>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</si>
  <si>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</si>
  <si>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</si>
  <si>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</si>
  <si>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</si>
  <si>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</si>
  <si>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</si>
  <si>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</si>
  <si>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</si>
  <si>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</si>
  <si>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</si>
  <si>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</si>
  <si>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</si>
  <si>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</si>
  <si>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</si>
  <si>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</si>
  <si>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</si>
  <si>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</si>
  <si>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</si>
  <si>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</si>
  <si>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</si>
  <si>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</si>
  <si>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</si>
  <si>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</si>
  <si>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</si>
  <si>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</si>
  <si>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</si>
  <si>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</si>
  <si>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</si>
  <si>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</si>
  <si>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</si>
  <si>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</si>
  <si>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</si>
  <si>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</si>
  <si>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</si>
  <si>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</si>
  <si>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</si>
  <si>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</si>
  <si>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</si>
  <si>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</si>
  <si>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</si>
  <si>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</si>
  <si>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</si>
  <si>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</si>
  <si>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</si>
  <si>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</si>
  <si>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</si>
  <si>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</si>
  <si>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</si>
  <si>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</si>
  <si>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</si>
  <si>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</si>
  <si>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</si>
  <si>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</si>
  <si>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</si>
  <si>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</si>
  <si>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</si>
  <si>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</si>
  <si>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</si>
  <si>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</si>
  <si>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</si>
  <si>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</si>
  <si>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</si>
  <si>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</si>
  <si>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</si>
  <si>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</si>
  <si>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</si>
  <si>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</si>
  <si>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</si>
  <si>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</si>
  <si>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</si>
  <si>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</si>
  <si>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</si>
  <si>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</si>
  <si>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</si>
  <si>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</si>
  <si>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</si>
  <si>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</si>
  <si>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</si>
  <si>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</si>
  <si>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</si>
  <si>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</si>
  <si>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</si>
  <si>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</si>
  <si>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</si>
  <si>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</si>
  <si>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</si>
  <si>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</si>
  <si>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</si>
  <si>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</si>
  <si>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</si>
  <si>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</si>
  <si>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</si>
  <si>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</si>
  <si>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</si>
  <si>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</si>
  <si>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</si>
  <si>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</si>
  <si>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</si>
  <si>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</si>
  <si>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</si>
  <si>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</si>
  <si>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</si>
  <si>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</si>
  <si>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</si>
  <si>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</si>
  <si>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</si>
  <si>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</si>
  <si>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</si>
  <si>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</si>
  <si>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</si>
  <si>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</si>
  <si>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</si>
  <si>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</si>
  <si>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</si>
  <si>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</si>
  <si>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</si>
  <si>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</si>
  <si>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</si>
  <si>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</si>
  <si>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</si>
  <si>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</si>
  <si>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</si>
  <si>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</si>
  <si>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</si>
  <si>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</si>
  <si>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</si>
  <si>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</si>
  <si>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</si>
  <si>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</si>
  <si>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</si>
  <si>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</si>
  <si>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</si>
  <si>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</si>
  <si>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</si>
  <si>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</si>
  <si>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</si>
  <si>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</si>
  <si>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</si>
  <si>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</si>
  <si>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</si>
  <si>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</si>
  <si>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</si>
  <si>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</si>
  <si>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</si>
  <si>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</si>
  <si>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</si>
  <si>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</si>
  <si>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</si>
  <si>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</si>
  <si>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</si>
  <si>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</si>
  <si>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</si>
  <si>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</si>
  <si>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</si>
  <si>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</si>
  <si>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</si>
  <si>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</si>
  <si>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</si>
  <si>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</si>
  <si>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</si>
  <si>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</si>
  <si>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</si>
  <si>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</si>
  <si>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</si>
  <si>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</si>
  <si>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</si>
  <si>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</si>
  <si>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</si>
  <si>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</si>
  <si>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</si>
  <si>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</si>
  <si>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</si>
  <si>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</si>
  <si>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</si>
  <si>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</si>
  <si>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</si>
  <si>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</si>
  <si>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</si>
  <si>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</si>
  <si>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</si>
  <si>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</si>
  <si>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</si>
  <si>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</si>
  <si>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</si>
  <si>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</si>
  <si>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</si>
  <si>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</si>
  <si>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</si>
  <si>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</si>
  <si>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</si>
  <si>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</si>
  <si>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</si>
  <si>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</si>
  <si>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</si>
  <si>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</si>
  <si>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</si>
  <si>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</si>
  <si>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</si>
  <si>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</si>
  <si>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</si>
  <si>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</si>
  <si>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</si>
  <si>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</si>
  <si>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</si>
  <si>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</si>
  <si>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</si>
  <si>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</si>
  <si>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</si>
  <si>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</si>
  <si>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</si>
  <si>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</si>
  <si>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</si>
  <si>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</si>
  <si>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</si>
  <si>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</si>
  <si>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</si>
  <si>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</si>
  <si>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</si>
  <si>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</si>
  <si>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</si>
  <si>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</si>
  <si>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</si>
  <si>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</si>
  <si>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</si>
  <si>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</si>
  <si>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</si>
  <si>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</si>
  <si>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</si>
  <si>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</si>
  <si>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</si>
  <si>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</si>
  <si>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</si>
  <si>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</si>
  <si>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</si>
  <si>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</si>
  <si>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</si>
  <si>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</si>
  <si>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</si>
  <si>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</si>
  <si>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</si>
  <si>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</si>
  <si>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</si>
  <si>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</si>
  <si>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</si>
  <si>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</si>
  <si>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</si>
  <si>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</si>
  <si>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</si>
  <si>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</si>
  <si>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</si>
  <si>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</si>
  <si>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</si>
  <si>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</si>
  <si>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</si>
  <si>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</si>
  <si>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</si>
  <si>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</si>
  <si>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</si>
  <si>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</si>
  <si>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</si>
  <si>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</si>
  <si>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</si>
  <si>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</si>
  <si>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</si>
  <si>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</si>
  <si>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</si>
  <si>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</si>
  <si>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</si>
  <si>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</si>
  <si>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</si>
  <si>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</si>
  <si>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</si>
  <si>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</si>
  <si>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</si>
  <si>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</si>
  <si>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</si>
  <si>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</si>
  <si>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</si>
  <si>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</si>
  <si>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</si>
  <si>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</si>
  <si>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</si>
  <si>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</si>
  <si>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</si>
  <si>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</si>
  <si>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</si>
  <si>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</si>
  <si>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</si>
  <si>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</si>
  <si>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</si>
  <si>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</si>
  <si>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</si>
  <si>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</si>
  <si>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</si>
  <si>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</si>
  <si>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</si>
  <si>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</si>
  <si>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</si>
  <si>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</si>
  <si>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</si>
  <si>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</si>
  <si>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</si>
  <si>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</si>
  <si>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</si>
  <si>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</si>
  <si>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</si>
  <si>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</si>
  <si>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</si>
  <si>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</si>
  <si>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</si>
  <si>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</si>
  <si>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</si>
  <si>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</si>
  <si>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</si>
  <si>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</si>
  <si>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</si>
  <si>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</si>
  <si>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</si>
  <si>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</si>
  <si>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</si>
  <si>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</si>
  <si>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</si>
  <si>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</si>
  <si>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</si>
  <si>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</si>
  <si>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</si>
  <si>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</si>
  <si>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</si>
  <si>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</si>
  <si>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</si>
  <si>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</si>
  <si>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</si>
  <si>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</si>
  <si>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</si>
  <si>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</si>
  <si>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</si>
  <si>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</si>
  <si>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</si>
  <si>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</si>
  <si>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</si>
  <si>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</si>
  <si>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</si>
  <si>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</si>
  <si>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</si>
  <si>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</si>
  <si>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</si>
  <si>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</si>
  <si>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</si>
  <si>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</si>
  <si>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</si>
  <si>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</si>
  <si>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</si>
  <si>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</si>
  <si>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</si>
  <si>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</si>
  <si>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</si>
  <si>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</si>
  <si>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</si>
  <si>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</si>
  <si>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</si>
  <si>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</si>
  <si>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</si>
  <si>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</si>
  <si>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</si>
  <si>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</si>
  <si>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</si>
  <si>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</si>
  <si>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</si>
  <si>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</si>
  <si>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</si>
  <si>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</si>
  <si>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</si>
  <si>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</si>
  <si>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</si>
  <si>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</si>
  <si>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</si>
  <si>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</si>
  <si>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</si>
  <si>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</si>
  <si>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</si>
  <si>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</si>
  <si>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</si>
  <si>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</si>
  <si>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</si>
  <si>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</si>
  <si>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</si>
  <si>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</si>
  <si>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</si>
  <si>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</si>
  <si>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</si>
  <si>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</si>
  <si>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</si>
  <si>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</si>
  <si>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</si>
  <si>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</si>
  <si>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</si>
  <si>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</si>
  <si>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</si>
  <si>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</si>
  <si>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</si>
  <si>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</si>
  <si>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</si>
  <si>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</si>
  <si>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</si>
  <si>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</si>
  <si>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</si>
  <si>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</si>
  <si>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</si>
  <si>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</si>
  <si>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</si>
  <si>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</si>
  <si>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</si>
  <si>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</si>
  <si>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</si>
  <si>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</si>
  <si>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</si>
  <si>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</si>
  <si>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</si>
  <si>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</si>
  <si>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</si>
  <si>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</si>
  <si>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</si>
  <si>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</si>
  <si>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</si>
  <si>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</si>
  <si>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</si>
  <si>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</si>
  <si>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</si>
  <si>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</si>
  <si>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</si>
  <si>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</si>
  <si>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</si>
  <si>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</si>
  <si>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</si>
  <si>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</si>
  <si>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</si>
  <si>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</si>
  <si>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</si>
  <si>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</si>
  <si>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</si>
  <si>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</si>
  <si>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</si>
  <si>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</si>
  <si>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</si>
  <si>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</si>
  <si>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</si>
  <si>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</si>
  <si>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</si>
  <si>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</si>
  <si>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</si>
  <si>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</si>
  <si>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</si>
  <si>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</si>
  <si>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</si>
  <si>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</si>
  <si>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</si>
  <si>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</si>
  <si>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</si>
  <si>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</si>
  <si>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</si>
  <si>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</si>
  <si>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</si>
  <si>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</si>
  <si>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</si>
  <si>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</si>
  <si>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</si>
  <si>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</si>
  <si>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</si>
  <si>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</si>
  <si>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</si>
  <si>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</si>
  <si>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</si>
  <si>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</si>
  <si>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</si>
  <si>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</si>
  <si>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</si>
  <si>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</si>
  <si>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</si>
  <si>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</si>
  <si>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</si>
  <si>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</si>
  <si>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</si>
  <si>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</si>
  <si>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</si>
  <si>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</si>
  <si>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</si>
  <si>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</si>
  <si>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</si>
  <si>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</si>
  <si>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</si>
  <si>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</si>
  <si>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</si>
  <si>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</si>
  <si>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</si>
  <si>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</si>
  <si>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</si>
  <si>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</si>
  <si>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</si>
  <si>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</si>
  <si>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</si>
  <si>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</si>
  <si>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</si>
  <si>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</si>
  <si>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</si>
  <si>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</si>
  <si>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</si>
  <si>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</si>
  <si>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</si>
  <si>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</si>
  <si>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</si>
  <si>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</si>
  <si>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</si>
  <si>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</si>
  <si>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</si>
  <si>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</si>
  <si>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</si>
  <si>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</si>
  <si>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</si>
  <si>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</si>
  <si>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</si>
  <si>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</si>
  <si>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</si>
  <si>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</si>
  <si>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</si>
  <si>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</si>
  <si>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</si>
  <si>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</si>
  <si>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</si>
  <si>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</si>
  <si>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</si>
  <si>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</si>
  <si>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</si>
  <si>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</si>
  <si>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</si>
  <si>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</si>
  <si>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</si>
  <si>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</si>
  <si>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</si>
  <si>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</si>
  <si>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</si>
  <si>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</si>
  <si>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</si>
  <si>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</si>
  <si>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</si>
  <si>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</si>
  <si>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</si>
  <si>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</si>
  <si>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</si>
  <si>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</si>
  <si>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</si>
  <si>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</si>
  <si>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</si>
  <si>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</si>
  <si>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</si>
  <si>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</si>
  <si>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</si>
  <si>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</si>
  <si>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</si>
  <si>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</si>
  <si>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</si>
  <si>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</si>
  <si>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</si>
  <si>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</si>
  <si>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</si>
  <si>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</si>
  <si>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</si>
  <si>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</si>
  <si>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</si>
  <si>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</si>
  <si>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</si>
  <si>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</si>
  <si>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</si>
  <si>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</si>
  <si>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</si>
  <si>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</si>
  <si>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</si>
  <si>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</si>
  <si>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</si>
  <si>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</si>
  <si>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</si>
  <si>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</si>
  <si>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</si>
  <si>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</si>
  <si>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</si>
  <si>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</si>
  <si>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</si>
  <si>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</si>
  <si>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</si>
  <si>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</si>
  <si>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</si>
  <si>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</si>
  <si>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</si>
  <si>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</si>
  <si>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</si>
  <si>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</si>
  <si>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</si>
  <si>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</si>
  <si>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</si>
  <si>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</si>
  <si>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</si>
  <si>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</si>
  <si>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</si>
  <si>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</si>
  <si>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</si>
  <si>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</si>
  <si>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</si>
  <si>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</si>
  <si>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</si>
  <si>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</si>
  <si>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</si>
  <si>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</si>
  <si>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</si>
  <si>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</si>
  <si>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</si>
  <si>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</si>
  <si>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</si>
  <si>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</si>
  <si>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</si>
  <si>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</si>
  <si>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</si>
  <si>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</si>
  <si>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</si>
  <si>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</si>
  <si>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</si>
  <si>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</si>
  <si>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</si>
  <si>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</si>
  <si>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</si>
  <si>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</si>
  <si>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</si>
  <si>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</si>
  <si>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</si>
  <si>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</si>
  <si>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</si>
  <si>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</si>
  <si>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</si>
  <si>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</si>
  <si>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</si>
  <si>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</si>
  <si>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</si>
  <si>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</si>
  <si>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</si>
  <si>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</si>
  <si>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</si>
  <si>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</si>
  <si>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</si>
  <si>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</si>
  <si>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</si>
  <si>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</si>
  <si>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</si>
  <si>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</si>
  <si>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</si>
  <si>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</si>
  <si>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</si>
  <si>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</si>
  <si>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</si>
  <si>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</si>
  <si>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</si>
  <si>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</si>
  <si>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</si>
  <si>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</si>
  <si>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</si>
  <si>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</si>
  <si>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</si>
  <si>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</si>
  <si>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</si>
  <si>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</si>
  <si>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</si>
  <si>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</si>
  <si>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</si>
  <si>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</si>
  <si>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</si>
  <si>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</si>
  <si>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</si>
  <si>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</si>
  <si>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</si>
  <si>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</si>
  <si>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</si>
  <si>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</si>
  <si>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</si>
  <si>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</si>
  <si>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</si>
  <si>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</si>
  <si>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</si>
  <si>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</si>
  <si>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</si>
  <si>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</si>
  <si>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</si>
  <si>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</si>
  <si>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</si>
  <si>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</si>
  <si>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</si>
  <si>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</si>
  <si>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</si>
  <si>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</si>
  <si>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</si>
  <si>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</si>
  <si>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</si>
  <si>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</si>
  <si>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</si>
  <si>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</si>
  <si>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</si>
  <si>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</si>
  <si>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</si>
  <si>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</si>
  <si>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</si>
  <si>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</si>
  <si>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</si>
  <si>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</si>
  <si>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</si>
  <si>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</si>
  <si>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</si>
  <si>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</si>
  <si>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</si>
  <si>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</si>
  <si>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</si>
  <si>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</si>
  <si>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</si>
  <si>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</si>
  <si>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</si>
  <si>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</si>
  <si>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</si>
  <si>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</si>
  <si>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</si>
  <si>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</si>
  <si>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</si>
  <si>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</si>
  <si>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</si>
  <si>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</si>
  <si>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</si>
  <si>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</si>
  <si>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</si>
  <si>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</si>
  <si>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</si>
  <si>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</si>
  <si>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</si>
  <si>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</si>
  <si>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</si>
  <si>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</si>
  <si>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</si>
  <si>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</si>
  <si>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</si>
  <si>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</si>
  <si>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</si>
  <si>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</si>
  <si>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</si>
  <si>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</si>
  <si>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</si>
  <si>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</si>
  <si>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</si>
  <si>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</si>
  <si>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</si>
  <si>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</si>
  <si>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</si>
  <si>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</si>
  <si>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</si>
  <si>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</si>
  <si>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</si>
  <si>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</si>
  <si>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</si>
  <si>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</si>
  <si>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</si>
  <si>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</si>
  <si>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</si>
  <si>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</si>
  <si>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</si>
  <si>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</si>
  <si>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</si>
  <si>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</si>
  <si>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</si>
  <si>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</si>
  <si>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</si>
  <si>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</si>
  <si>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</si>
  <si>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</si>
  <si>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</si>
  <si>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</si>
  <si>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</si>
  <si>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</si>
  <si>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</si>
  <si>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</si>
  <si>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</si>
  <si>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</si>
  <si>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</si>
  <si>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</si>
  <si>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</si>
  <si>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</si>
  <si>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</si>
  <si>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</si>
  <si>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</si>
  <si>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</si>
  <si>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</si>
  <si>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</si>
  <si>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</si>
  <si>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</si>
  <si>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</si>
  <si>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</si>
  <si>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</si>
  <si>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</si>
  <si>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</si>
  <si>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</si>
  <si>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</si>
  <si>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</si>
  <si>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</si>
  <si>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</si>
  <si>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</si>
  <si>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</si>
  <si>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</si>
  <si>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</si>
  <si>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</si>
  <si>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</si>
  <si>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</si>
  <si>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</si>
  <si>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</si>
  <si>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</si>
  <si>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</si>
  <si>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</si>
  <si>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</si>
  <si>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</si>
  <si>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</si>
  <si>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</si>
  <si>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</si>
  <si>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</si>
  <si>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</si>
  <si>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</si>
  <si>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</si>
  <si>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</si>
  <si>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</si>
  <si>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</si>
  <si>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</si>
  <si>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</si>
  <si>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</si>
  <si>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</si>
  <si>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</si>
  <si>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</si>
  <si>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</si>
  <si>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</si>
  <si>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</si>
  <si>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</si>
  <si>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</si>
  <si>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</si>
  <si>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</si>
  <si>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</si>
  <si>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</si>
  <si>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</si>
  <si>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</si>
  <si>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</si>
  <si>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</si>
  <si>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</si>
  <si>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</si>
  <si>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</si>
  <si>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</si>
  <si>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</si>
  <si>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</si>
  <si>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</si>
  <si>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</si>
  <si>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</si>
  <si>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</si>
  <si>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</si>
  <si>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</si>
  <si>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</si>
  <si>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</si>
  <si>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</si>
  <si>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</si>
  <si>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</si>
  <si>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</si>
  <si>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</si>
  <si>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</si>
  <si>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</si>
  <si>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</si>
  <si>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</si>
  <si>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</si>
  <si>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</si>
  <si>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</si>
  <si>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</si>
  <si>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</si>
  <si>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</si>
  <si>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</si>
  <si>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C&amp;K Components</t>
  </si>
  <si>
    <t>Amy Chen</t>
  </si>
  <si>
    <t>86-752-2773999</t>
  </si>
  <si>
    <t>Harry Dong</t>
  </si>
  <si>
    <t>Malaysia Smelting Corporation (MSC) does source from DRC, but not in the conflict area, and material is from CFSP compliant smelters.</t>
  </si>
  <si>
    <t>100%</t>
  </si>
  <si>
    <t>https://www.ckswitches.com/about-us/environment/</t>
  </si>
  <si>
    <t>Hong Kong</t>
  </si>
  <si>
    <t>Nei Mongol</t>
  </si>
  <si>
    <t>Jiangxi</t>
  </si>
  <si>
    <t>UNITED STATES</t>
  </si>
  <si>
    <t>Naoshima</t>
  </si>
  <si>
    <t>Castel San Pietro</t>
  </si>
  <si>
    <t>Shandong</t>
  </si>
  <si>
    <t>TAIWAN</t>
  </si>
  <si>
    <t>Henan</t>
  </si>
  <si>
    <t>Fujian</t>
  </si>
  <si>
    <t>BOLIVIA</t>
  </si>
  <si>
    <t>Yunnan</t>
  </si>
  <si>
    <t>Guangxi</t>
  </si>
  <si>
    <t>Asago</t>
  </si>
  <si>
    <t>CID000197</t>
    <phoneticPr fontId="100" type="noConversion"/>
  </si>
  <si>
    <t>envrequests-ck@littelfuse.com</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</si>
</sst>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ckswitches.com/about-us/environmen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nvrequests-ck@littelfuse.com" TargetMode="External"/><Relationship Id="rId4" Type="http://schemas.openxmlformats.org/officeDocument/2006/relationships/hyperlink" Target="mailto:envrequests-ck@littelfus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1"/>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2.7"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55">
      <c r="A4" s="293"/>
      <c r="B4" s="30" t="s">
        <v>845</v>
      </c>
      <c r="C4" s="6"/>
      <c r="D4" s="177"/>
      <c r="E4" s="3"/>
      <c r="F4" s="6"/>
      <c r="G4" s="25"/>
    </row>
    <row r="5" spans="1:7" ht="12.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1" customHeight="1">
      <c r="A10" s="293"/>
      <c r="B10" s="297" t="s">
        <v>438</v>
      </c>
      <c r="C10" s="297"/>
      <c r="D10" s="297"/>
      <c r="E10" s="297"/>
      <c r="F10" s="297"/>
      <c r="G10" s="25"/>
    </row>
    <row r="11" spans="1:7" ht="27.1" customHeight="1">
      <c r="A11" s="293"/>
      <c r="B11" s="298"/>
      <c r="C11" s="298"/>
      <c r="D11" s="298"/>
      <c r="E11" s="298"/>
      <c r="F11" s="298"/>
      <c r="G11" s="25"/>
    </row>
    <row r="12" spans="1:7">
      <c r="A12" s="293"/>
      <c r="B12" s="31" t="s">
        <v>844</v>
      </c>
      <c r="C12" s="32" t="s">
        <v>847</v>
      </c>
      <c r="D12" s="179" t="s">
        <v>848</v>
      </c>
      <c r="E12" s="32" t="s">
        <v>612</v>
      </c>
      <c r="F12" s="32" t="s">
        <v>613</v>
      </c>
      <c r="G12" s="25"/>
    </row>
    <row r="13" spans="1:7" ht="20.75">
      <c r="A13" s="293"/>
      <c r="B13" s="2">
        <v>1</v>
      </c>
      <c r="C13" s="27" t="s">
        <v>1084</v>
      </c>
      <c r="D13" s="28" t="s">
        <v>872</v>
      </c>
      <c r="E13" s="163" t="s">
        <v>849</v>
      </c>
      <c r="F13" s="163"/>
      <c r="G13" s="25"/>
    </row>
    <row r="14" spans="1:7" ht="31.1">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1" customHeight="1">
      <c r="A16" s="293"/>
      <c r="B16" s="300"/>
      <c r="C16" s="303"/>
      <c r="D16" s="306"/>
      <c r="E16" s="165"/>
      <c r="F16" s="165" t="s">
        <v>615</v>
      </c>
      <c r="G16" s="25"/>
    </row>
    <row r="17" spans="1:7" ht="63.1" customHeight="1">
      <c r="A17" s="293"/>
      <c r="B17" s="301"/>
      <c r="C17" s="304"/>
      <c r="D17" s="307"/>
      <c r="E17" s="27"/>
      <c r="F17" s="27" t="s">
        <v>616</v>
      </c>
      <c r="G17" s="25"/>
    </row>
    <row r="18" spans="1:7" ht="117.1"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3"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45" customHeight="1">
      <c r="A23" s="293"/>
      <c r="B23" s="312"/>
      <c r="C23" s="312"/>
      <c r="D23" s="315"/>
      <c r="E23" s="303"/>
      <c r="F23" s="165" t="s">
        <v>819</v>
      </c>
      <c r="G23" s="25"/>
    </row>
    <row r="24" spans="1:7" ht="74.3"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 customHeight="1">
      <c r="A28" s="293"/>
      <c r="B28" s="309"/>
      <c r="C28" s="300"/>
      <c r="D28" s="306"/>
      <c r="E28" s="303"/>
      <c r="F28" s="165" t="s">
        <v>60</v>
      </c>
      <c r="G28" s="25"/>
    </row>
    <row r="29" spans="1:7" ht="74.599999999999994" customHeight="1">
      <c r="A29" s="293"/>
      <c r="B29" s="309"/>
      <c r="C29" s="300"/>
      <c r="D29" s="306"/>
      <c r="E29" s="303"/>
      <c r="F29" s="165" t="s">
        <v>61</v>
      </c>
      <c r="G29" s="25"/>
    </row>
    <row r="30" spans="1:7" ht="62.65" customHeight="1">
      <c r="A30" s="293"/>
      <c r="B30" s="309"/>
      <c r="C30" s="300"/>
      <c r="D30" s="306"/>
      <c r="E30" s="303"/>
      <c r="F30" s="165" t="s">
        <v>62</v>
      </c>
      <c r="G30" s="25"/>
    </row>
    <row r="31" spans="1:7" ht="81.099999999999994" customHeight="1">
      <c r="A31" s="293"/>
      <c r="B31" s="309"/>
      <c r="C31" s="300"/>
      <c r="D31" s="306"/>
      <c r="E31" s="303"/>
      <c r="F31" s="165" t="s">
        <v>63</v>
      </c>
      <c r="G31" s="25"/>
    </row>
    <row r="32" spans="1:7" ht="48.85" customHeight="1">
      <c r="A32" s="293"/>
      <c r="B32" s="309"/>
      <c r="C32" s="300"/>
      <c r="D32" s="306"/>
      <c r="E32" s="303"/>
      <c r="F32" s="165" t="s">
        <v>66</v>
      </c>
      <c r="G32" s="25"/>
    </row>
    <row r="33" spans="1:7" ht="98.65" customHeight="1">
      <c r="A33" s="293"/>
      <c r="B33" s="309"/>
      <c r="C33" s="300"/>
      <c r="D33" s="306"/>
      <c r="E33" s="303"/>
      <c r="F33" s="165" t="s">
        <v>65</v>
      </c>
      <c r="G33" s="25"/>
    </row>
    <row r="34" spans="1:7" ht="89.15" customHeight="1">
      <c r="A34" s="293"/>
      <c r="B34" s="309"/>
      <c r="C34" s="300"/>
      <c r="D34" s="306"/>
      <c r="E34" s="303"/>
      <c r="F34" s="165" t="s">
        <v>67</v>
      </c>
      <c r="G34" s="25"/>
    </row>
    <row r="35" spans="1:7" ht="29.1" customHeight="1">
      <c r="A35" s="293"/>
      <c r="B35" s="309"/>
      <c r="C35" s="300"/>
      <c r="D35" s="306"/>
      <c r="E35" s="303"/>
      <c r="F35" s="165" t="s">
        <v>68</v>
      </c>
      <c r="G35" s="25"/>
    </row>
    <row r="36" spans="1:7" ht="124.45">
      <c r="A36" s="293"/>
      <c r="B36" s="310"/>
      <c r="C36" s="301"/>
      <c r="D36" s="307"/>
      <c r="E36" s="304"/>
      <c r="F36" s="166" t="s">
        <v>69</v>
      </c>
      <c r="G36" s="25"/>
    </row>
    <row r="37" spans="1:7" ht="103.7">
      <c r="A37" s="293"/>
      <c r="B37" s="141">
        <v>3.01</v>
      </c>
      <c r="C37" s="142" t="s">
        <v>70</v>
      </c>
      <c r="D37" s="28" t="s">
        <v>2251</v>
      </c>
      <c r="E37" s="167" t="s">
        <v>1323</v>
      </c>
      <c r="F37" s="168" t="s">
        <v>1427</v>
      </c>
      <c r="G37" s="25"/>
    </row>
    <row r="38" spans="1:7" ht="93.35">
      <c r="A38" s="293"/>
      <c r="B38" s="141">
        <v>3.02</v>
      </c>
      <c r="C38" s="142" t="s">
        <v>1356</v>
      </c>
      <c r="D38" s="28" t="s">
        <v>2252</v>
      </c>
      <c r="E38" s="167" t="s">
        <v>1371</v>
      </c>
      <c r="F38" s="168" t="s">
        <v>1428</v>
      </c>
      <c r="G38" s="25"/>
    </row>
    <row r="39" spans="1:7" ht="82.95">
      <c r="A39" s="293"/>
      <c r="B39" s="150">
        <v>4</v>
      </c>
      <c r="C39" s="149" t="s">
        <v>1524</v>
      </c>
      <c r="D39" s="28" t="s">
        <v>2253</v>
      </c>
      <c r="E39" s="27" t="s">
        <v>2198</v>
      </c>
      <c r="F39" s="27" t="s">
        <v>1525</v>
      </c>
      <c r="G39" s="25"/>
    </row>
    <row r="40" spans="1:7" ht="51.85">
      <c r="A40" s="293"/>
      <c r="B40" s="141">
        <v>4.01</v>
      </c>
      <c r="C40" s="149" t="s">
        <v>1524</v>
      </c>
      <c r="D40" s="28" t="s">
        <v>2255</v>
      </c>
      <c r="E40" s="27" t="s">
        <v>2210</v>
      </c>
      <c r="F40" s="27" t="s">
        <v>2214</v>
      </c>
      <c r="G40" s="25"/>
    </row>
    <row r="41" spans="1:7" ht="51.85">
      <c r="A41" s="293"/>
      <c r="B41" s="141" t="s">
        <v>2242</v>
      </c>
      <c r="C41" s="149" t="s">
        <v>1524</v>
      </c>
      <c r="D41" s="28" t="s">
        <v>2254</v>
      </c>
      <c r="E41" s="27" t="s">
        <v>2245</v>
      </c>
      <c r="F41" s="27" t="s">
        <v>2243</v>
      </c>
      <c r="G41" s="25"/>
    </row>
    <row r="42" spans="1:7" ht="51.85">
      <c r="A42" s="293"/>
      <c r="B42" s="141" t="s">
        <v>2276</v>
      </c>
      <c r="C42" s="149" t="s">
        <v>1524</v>
      </c>
      <c r="D42" s="28" t="s">
        <v>2281</v>
      </c>
      <c r="E42" s="27" t="s">
        <v>2244</v>
      </c>
      <c r="F42" s="27" t="s">
        <v>2277</v>
      </c>
      <c r="G42" s="25"/>
    </row>
    <row r="43" spans="1:7" ht="114.05">
      <c r="A43" s="293"/>
      <c r="B43" s="160">
        <v>4.0999999999999996</v>
      </c>
      <c r="C43" s="149" t="s">
        <v>2280</v>
      </c>
      <c r="D43" s="161">
        <v>42867</v>
      </c>
      <c r="E43" s="169" t="s">
        <v>2283</v>
      </c>
      <c r="F43" s="27" t="s">
        <v>2282</v>
      </c>
      <c r="G43" s="25"/>
    </row>
    <row r="44" spans="1:7" ht="72.599999999999994">
      <c r="A44" s="293"/>
      <c r="B44" s="160">
        <v>4.2</v>
      </c>
      <c r="C44" s="149" t="s">
        <v>2280</v>
      </c>
      <c r="D44" s="161">
        <v>42704</v>
      </c>
      <c r="E44" s="169" t="s">
        <v>2479</v>
      </c>
      <c r="F44" s="27" t="s">
        <v>2454</v>
      </c>
      <c r="G44" s="25"/>
    </row>
    <row r="45" spans="1:7" ht="134.80000000000001">
      <c r="A45" s="293"/>
      <c r="B45" s="202">
        <v>5</v>
      </c>
      <c r="C45" s="149" t="s">
        <v>2280</v>
      </c>
      <c r="D45" s="161">
        <v>42867</v>
      </c>
      <c r="E45" s="169" t="s">
        <v>12705</v>
      </c>
      <c r="F45" s="27" t="s">
        <v>12427</v>
      </c>
      <c r="G45" s="25"/>
    </row>
    <row r="46" spans="1:7" ht="41.5">
      <c r="A46" s="293"/>
      <c r="B46" s="160">
        <v>5.01</v>
      </c>
      <c r="C46" s="149" t="s">
        <v>2280</v>
      </c>
      <c r="D46" s="161">
        <v>42907</v>
      </c>
      <c r="E46" s="169" t="s">
        <v>15521</v>
      </c>
      <c r="F46" s="27" t="s">
        <v>12427</v>
      </c>
      <c r="G46" s="25"/>
    </row>
    <row r="47" spans="1:7" ht="62.25">
      <c r="A47" s="293"/>
      <c r="B47" s="160">
        <v>5.0999999999999996</v>
      </c>
      <c r="C47" s="149" t="s">
        <v>2280</v>
      </c>
      <c r="D47" s="161">
        <v>43070</v>
      </c>
      <c r="E47" s="169" t="s">
        <v>12915</v>
      </c>
      <c r="F47" s="27" t="s">
        <v>12916</v>
      </c>
      <c r="G47" s="25"/>
    </row>
    <row r="48" spans="1:7" ht="51.85">
      <c r="A48" s="293"/>
      <c r="B48" s="160">
        <v>5.1100000000000003</v>
      </c>
      <c r="C48" s="149" t="s">
        <v>13152</v>
      </c>
      <c r="D48" s="161">
        <v>43217</v>
      </c>
      <c r="E48" s="169" t="s">
        <v>13278</v>
      </c>
      <c r="F48" s="27" t="s">
        <v>13186</v>
      </c>
      <c r="G48" s="25"/>
    </row>
    <row r="49" spans="1:7" ht="51.85">
      <c r="A49" s="293"/>
      <c r="B49" s="160">
        <v>5.12</v>
      </c>
      <c r="C49" s="149" t="s">
        <v>13152</v>
      </c>
      <c r="D49" s="161">
        <v>43581</v>
      </c>
      <c r="E49" s="169" t="s">
        <v>13278</v>
      </c>
      <c r="F49" s="27" t="s">
        <v>13832</v>
      </c>
      <c r="G49" s="25"/>
    </row>
    <row r="50" spans="1:7" ht="72.599999999999994">
      <c r="A50" s="293"/>
      <c r="B50" s="202">
        <v>6</v>
      </c>
      <c r="C50" s="149" t="s">
        <v>13152</v>
      </c>
      <c r="D50" s="161">
        <v>43964</v>
      </c>
      <c r="E50" s="169" t="s">
        <v>14048</v>
      </c>
      <c r="F50" s="27" t="s">
        <v>13835</v>
      </c>
      <c r="G50" s="25"/>
    </row>
    <row r="51" spans="1:7" ht="41.5">
      <c r="A51" s="293"/>
      <c r="B51" s="160">
        <v>6.01</v>
      </c>
      <c r="C51" s="149" t="s">
        <v>13152</v>
      </c>
      <c r="D51" s="161">
        <v>43970</v>
      </c>
      <c r="E51" s="169" t="s">
        <v>15522</v>
      </c>
      <c r="F51" s="169" t="s">
        <v>13835</v>
      </c>
      <c r="G51" s="25"/>
    </row>
    <row r="52" spans="1:7" ht="41.5">
      <c r="A52" s="293"/>
      <c r="B52" s="160">
        <v>6.1</v>
      </c>
      <c r="C52" s="149" t="s">
        <v>13152</v>
      </c>
      <c r="D52" s="161">
        <v>44314</v>
      </c>
      <c r="E52" s="169" t="s">
        <v>15514</v>
      </c>
      <c r="F52" s="169" t="s">
        <v>15043</v>
      </c>
      <c r="G52" s="25"/>
    </row>
    <row r="53" spans="1:7" ht="41.5">
      <c r="A53" s="293"/>
      <c r="B53" s="160">
        <v>6.2</v>
      </c>
      <c r="C53" s="149" t="s">
        <v>13152</v>
      </c>
      <c r="D53" s="161">
        <v>44678</v>
      </c>
      <c r="E53" s="169" t="s">
        <v>15514</v>
      </c>
      <c r="F53" s="169" t="s">
        <v>15513</v>
      </c>
      <c r="G53" s="25"/>
    </row>
    <row r="54" spans="1:7" ht="41.5">
      <c r="A54" s="293"/>
      <c r="B54" s="160">
        <v>6.21</v>
      </c>
      <c r="C54" s="149" t="s">
        <v>13152</v>
      </c>
      <c r="D54" s="161">
        <v>44687</v>
      </c>
      <c r="E54" s="169" t="s">
        <v>15523</v>
      </c>
      <c r="F54" s="169" t="s">
        <v>15513</v>
      </c>
      <c r="G54" s="25"/>
    </row>
    <row r="55" spans="1:7" ht="41.5">
      <c r="A55" s="293"/>
      <c r="B55" s="160">
        <v>6.22</v>
      </c>
      <c r="C55" s="149" t="s">
        <v>13152</v>
      </c>
      <c r="D55" s="275">
        <v>44692</v>
      </c>
      <c r="E55" s="169" t="s">
        <v>15522</v>
      </c>
      <c r="F55" s="169" t="s">
        <v>15513</v>
      </c>
      <c r="G55" s="25"/>
    </row>
    <row r="56" spans="1:7" ht="51.85">
      <c r="A56" s="293"/>
      <c r="B56" s="202">
        <v>6.3</v>
      </c>
      <c r="C56" s="149" t="s">
        <v>13152</v>
      </c>
      <c r="D56" s="275">
        <v>45051</v>
      </c>
      <c r="E56" s="169" t="s">
        <v>15790</v>
      </c>
      <c r="F56" s="169" t="s">
        <v>15571</v>
      </c>
      <c r="G56" s="25"/>
    </row>
    <row r="57" spans="1:7" ht="41.5">
      <c r="A57" s="293"/>
      <c r="B57" s="160">
        <v>6.31</v>
      </c>
      <c r="C57" s="149" t="s">
        <v>13152</v>
      </c>
      <c r="D57" s="275">
        <v>45072</v>
      </c>
      <c r="E57" s="169" t="s">
        <v>15792</v>
      </c>
      <c r="F57" s="169" t="s">
        <v>15571</v>
      </c>
      <c r="G57" s="25"/>
    </row>
    <row r="58" spans="1:7" ht="12.7" thickBot="1">
      <c r="A58" s="294"/>
      <c r="B58" s="295" t="str">
        <f ca="1">OFFSET(L!$C$1,MATCH("General"&amp;"Cpy",L!$A:$A,0)-1,SL,,)</f>
        <v>© 2023 Responsible Minerals Initiative. All rights reserved.</v>
      </c>
      <c r="C58" s="295"/>
      <c r="D58" s="295"/>
      <c r="E58" s="295"/>
      <c r="F58" s="295"/>
      <c r="G58" s="26"/>
    </row>
    <row r="59" spans="1:7" ht="12.7"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1"/>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401ABCD-3C03-4C72-A35B-8155E91A3CE7}"/>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1"/>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15F1524-5DB2-43C0-BDBA-F873675C1F1C}"/>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1"/>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95">
      <c r="A2" s="105" t="str">
        <f ca="1">OFFSET(L!$C$1,MATCH("Instructions"&amp;ADDRESS(ROW(),COLUMN(),4),L!$A:$A,0)-1,SL,,)</f>
        <v>Introduction</v>
      </c>
      <c r="B2" s="100" t="s">
        <v>1299</v>
      </c>
    </row>
    <row r="3" spans="1:2" ht="149.80000000000001">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29.95">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99999999999997"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1299</v>
      </c>
    </row>
    <row r="13" spans="1:2" ht="33.700000000000003"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00000000000003"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29.95">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95">
      <c r="A27" s="102" t="str">
        <f ca="1">OFFSET(L!$C$1,MATCH("Instructions"&amp;ADDRESS(ROW(),COLUMN(),4),L!$A:$A,0)-1,SL,,)</f>
        <v>Some companies may require substantiation for a "No" answer that should be entered into the Comment Field.</v>
      </c>
      <c r="B27" s="100" t="s">
        <v>1299</v>
      </c>
    </row>
    <row r="28" spans="1:2" ht="247.5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4.90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05" customHeight="1">
      <c r="A35" s="102" t="str">
        <f ca="1">OFFSET(L!$C$1,MATCH("Instructions"&amp;ADDRESS(ROW(),COLUMN(),4),L!$A:$A,0)-1,SL,,)</f>
        <v>Provide comments in the Comment sections as required to clarify your responses.</v>
      </c>
      <c r="B35" s="100"/>
    </row>
    <row r="36" spans="1:2" ht="15">
      <c r="A36" s="106"/>
      <c r="B36" s="100"/>
    </row>
    <row r="37" spans="1:2" ht="44.9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4.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9.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90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9.7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9.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4.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9.8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29.9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9.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9.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4.90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9.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9.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9.9">
      <c r="A58" s="102" t="str">
        <f ca="1">OFFSET(L!$C$1,MATCH("Instructions"&amp;ADDRESS(ROW(),COLUMN(),4),L!$A:$A,0)-1,SL,,)</f>
        <v>8. Smelter Street -  Provide the street name on which the smelter is located. This field is optional.</v>
      </c>
      <c r="B58" s="100" t="s">
        <v>1298</v>
      </c>
    </row>
    <row r="59" spans="1:2" ht="29.95">
      <c r="A59" s="102" t="str">
        <f ca="1">OFFSET(L!$C$1,MATCH("Instructions"&amp;ADDRESS(ROW(),COLUMN(),4),L!$A:$A,0)-1,SL,,)</f>
        <v>9. Smelter City – Provide the city name of where the smelter is located. This field is optional.</v>
      </c>
      <c r="B59" s="100" t="s">
        <v>1299</v>
      </c>
    </row>
    <row r="60" spans="1:2" ht="45.1" customHeight="1">
      <c r="A60" s="102" t="str">
        <f ca="1">OFFSET(L!$C$1,MATCH("Instructions"&amp;ADDRESS(ROW(),COLUMN(),4),L!$A:$A,0)-1,SL,,)</f>
        <v>10. Smelter Location: State/Province, if applicable – Provide the state or province where the smelter is located. This field is optional.</v>
      </c>
      <c r="B60" s="100" t="s">
        <v>1302</v>
      </c>
    </row>
    <row r="61" spans="1:2" ht="149.80000000000001">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9.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8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6"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4.90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95">
      <c r="A74" s="102"/>
      <c r="B74" s="100" t="s">
        <v>441</v>
      </c>
    </row>
    <row r="75" spans="1:2" ht="15">
      <c r="A75" s="102" t="str">
        <f ca="1">OFFSET(L!$C$1,MATCH("General"&amp;"Cpy",L!$A:$A,0)-1,SL,,)</f>
        <v>© 2023 Responsible Minerals Initiative. All rights reserved.</v>
      </c>
      <c r="B75" s="101"/>
    </row>
    <row r="76" spans="1:2" ht="15">
      <c r="A76" s="103" t="s">
        <v>1031</v>
      </c>
      <c r="B76" s="101"/>
    </row>
    <row r="77" spans="1:2" ht="15.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1"/>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2.7" thickTop="1">
      <c r="A1" s="317"/>
      <c r="B1" s="318"/>
      <c r="C1" s="318"/>
      <c r="D1" s="319"/>
    </row>
    <row r="2" spans="1:5" ht="71.3" customHeight="1">
      <c r="A2" s="74"/>
      <c r="B2" s="137" t="str">
        <f ca="1">OFFSET(L!$C$1,MATCH("Definitions"&amp;ADDRESS(ROW(),COLUMN(),4),L!$A:$A,0)-1,SL,,)</f>
        <v>ITEM</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Tantalum, tin, tungsten, gold</v>
      </c>
      <c r="D3" s="321"/>
      <c r="E3" s="100" t="s">
        <v>1307</v>
      </c>
    </row>
    <row r="4" spans="1:5" ht="63.8"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4.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9.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4.95">
      <c r="A10" s="74"/>
      <c r="B10" s="63" t="str">
        <f ca="1">OFFSET(L!$C$1,MATCH("Definitions"&amp;ADDRESS(ROW(),COLUMN(),4),L!$A:$A,0)-1,SL,,)</f>
        <v>DRC</v>
      </c>
      <c r="C10" s="63" t="str">
        <f ca="1">OFFSET(L!$C$1,MATCH("Definitions"&amp;ADDRESS(ROW(),COLUMN(),4),L!$A:$A,0)-1,SL,,)</f>
        <v>Democratic Republic of Congo</v>
      </c>
      <c r="D10" s="321"/>
      <c r="E10" s="100" t="s">
        <v>1307</v>
      </c>
    </row>
    <row r="11" spans="1:5" ht="59.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9.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3"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9.5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9.8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9.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9.7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9.8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29.9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6"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4.900000000000006">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59.9">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9.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9.8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2.7" thickBot="1">
      <c r="A33" s="75"/>
      <c r="B33" s="153"/>
      <c r="C33" s="153"/>
      <c r="D33" s="322"/>
    </row>
    <row r="34" spans="1:4" ht="12.7"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8" sqref="D28:E28"/>
    </sheetView>
  </sheetViews>
  <sheetFormatPr defaultColWidth="8.90625" defaultRowHeight="12.1"/>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5.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5000000000001" customHeight="1">
      <c r="A3" s="34"/>
      <c r="B3" s="135" t="s">
        <v>2428</v>
      </c>
      <c r="C3" s="15"/>
      <c r="D3" s="37" t="s">
        <v>857</v>
      </c>
      <c r="E3" s="3"/>
      <c r="F3" s="357"/>
      <c r="G3" s="357"/>
      <c r="H3" s="357"/>
      <c r="I3" s="152"/>
      <c r="J3" s="138" t="s">
        <v>15794</v>
      </c>
      <c r="K3" s="36"/>
      <c r="L3" s="100"/>
      <c r="P3" s="45">
        <f>MATCH($D$3,LN,0)</f>
        <v>1</v>
      </c>
    </row>
    <row r="4" spans="1:34" ht="15.5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5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65" t="s">
        <v>15817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50" t="s">
        <v>15797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05">
      <c r="A18" s="38"/>
      <c r="B18" s="40" t="str">
        <f ca="1">OFFSET(L!$C$1,MATCH("Declaration"&amp;ADDRESS(ROW(),COLUMN(),4),L!$A:$A,0)-1,SL,,)</f>
        <v>Authorizer (*):</v>
      </c>
      <c r="C18" s="77"/>
      <c r="D18" s="383" t="s">
        <v>15798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0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05">
      <c r="A20" s="38"/>
      <c r="B20" s="40" t="str">
        <f ca="1">OFFSET(L!$C$1,MATCH("Declaration"&amp;ADDRESS(ROW(),COLUMN(),4),L!$A:$A,0)-1,SL,,)</f>
        <v>Email - Authorizer (*):</v>
      </c>
      <c r="C20" s="77"/>
      <c r="D20" s="365" t="s">
        <v>15817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
      <c r="A22" s="38"/>
      <c r="B22" s="40" t="str">
        <f ca="1">OFFSET(L!$C$1,MATCH("Declaration"&amp;ADDRESS(ROW(),COLUMN(),4),L!$A:$A,0)-1,SL,,)</f>
        <v>Effective Date (*):</v>
      </c>
      <c r="C22" s="78"/>
      <c r="D22" s="328">
        <v>45131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0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0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0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0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05">
      <c r="A32" s="41"/>
      <c r="B32" s="40" t="str">
        <f ca="1">B26</f>
        <v xml:space="preserve">Tantalum  </v>
      </c>
      <c r="C32" s="10"/>
      <c r="D32" s="332" t="s">
        <v>489</v>
      </c>
      <c r="E32" s="333"/>
      <c r="F32" s="47"/>
      <c r="G32" s="334"/>
      <c r="H32" s="335"/>
      <c r="I32" s="335"/>
      <c r="J32" s="336"/>
      <c r="K32" s="36"/>
      <c r="L32" s="116"/>
      <c r="P32" s="45" t="str">
        <f>IF(D$32="No","","(*)")</f>
        <v/>
      </c>
      <c r="Q32" s="3"/>
      <c r="R32" s="3"/>
      <c r="S32" s="3"/>
      <c r="T32" s="3"/>
      <c r="U32" s="3"/>
      <c r="V32" s="3"/>
      <c r="W32" s="3"/>
      <c r="X32" s="3"/>
      <c r="Y32" s="3"/>
      <c r="Z32" s="3"/>
      <c r="AA32" s="3"/>
      <c r="AB32" s="3"/>
      <c r="AC32" s="3"/>
      <c r="AD32" s="3"/>
      <c r="AE32" s="3"/>
      <c r="AF32" s="3"/>
      <c r="AG32" s="3"/>
      <c r="AH32" s="3"/>
    </row>
    <row r="33" spans="1:34" ht="23.0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0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05">
      <c r="A35" s="41"/>
      <c r="B35" s="40" t="str">
        <f ca="1">B29</f>
        <v xml:space="preserve">Tungsten  </v>
      </c>
      <c r="C35" s="10"/>
      <c r="D35" s="326" t="s">
        <v>489</v>
      </c>
      <c r="E35" s="327"/>
      <c r="F35" s="47"/>
      <c r="G35" s="334"/>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7.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0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05">
      <c r="A39" s="41"/>
      <c r="B39" s="40" t="str">
        <f ca="1">OFFSET(L!$C$1,MATCH("Declaration"&amp;ADDRESS(ROW(),COLUMN(),4),L!$A:$A,0)-1,SL,,)&amp;P39</f>
        <v>Tin  (*)</v>
      </c>
      <c r="C39" s="10"/>
      <c r="D39" s="326" t="s">
        <v>488</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0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0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0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05" customHeight="1">
      <c r="A45" s="41"/>
      <c r="B45" s="40" t="str">
        <f ca="1">OFFSET(L!$C$1,MATCH("Declaration"&amp;ADDRESS(ROW(),COLUMN(),4),L!$A:$A,0)-1,SL,,)&amp;P45</f>
        <v>Tin  (*)</v>
      </c>
      <c r="C45" s="10"/>
      <c r="D45" s="326" t="s">
        <v>488</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0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0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0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0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0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0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0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0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05">
      <c r="A57" s="41"/>
      <c r="B57" s="40" t="str">
        <f ca="1">B39</f>
        <v>Tin  (*)</v>
      </c>
      <c r="C57" s="35"/>
      <c r="D57" s="368" t="s">
        <v>15800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05">
      <c r="A58" s="41"/>
      <c r="B58" s="40" t="str">
        <f ca="1">B40</f>
        <v>Gold  (*)</v>
      </c>
      <c r="C58" s="35"/>
      <c r="D58" s="368" t="s">
        <v>15800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0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0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0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0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0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0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0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0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0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99999999999997" customHeight="1">
      <c r="A83" s="41"/>
      <c r="B83" s="56" t="str">
        <f ca="1">OFFSET(L!$C$1,MATCH("Declaration"&amp;ADDRESS(ROW(),COLUMN(),4),L!$A:$A,0)-1,SL,,)&amp;$Q$37</f>
        <v>E. Does your company conduct Conflict Minerals survey(s) of your relevant supplier(s)?</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5" customHeight="1">
      <c r="A85" s="41"/>
      <c r="B85" s="56" t="str">
        <f ca="1">OFFSET(L!$C$1,MATCH("Declaration"&amp;ADDRESS(ROW(),COLUMN(),4),L!$A:$A,0)-1,SL,,)&amp;$Q$37</f>
        <v>F. Do you review due diligence information received from your suppliers against your company’s expectations?</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99999999999997" customHeight="1">
      <c r="A87" s="41"/>
      <c r="B87" s="56" t="str">
        <f ca="1">OFFSET(L!$C$1,MATCH("Declaration"&amp;ADDRESS(ROW(),COLUMN(),4),L!$A:$A,0)-1,SL,,)&amp;$Q$37</f>
        <v>G. Does your review process include corrective action management?</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55" hidden="1" customHeight="1">
      <c r="B96" s="56" t="s">
        <v>488</v>
      </c>
      <c r="D96" s="282" t="str">
        <f>IF(AND(OR($D$26="Yes",$D$26=""),OR($D$32="Yes",$D$32="")),"Yes","")</f>
        <v/>
      </c>
      <c r="E96" s="282" t="str">
        <f>IF(AND(OR($D$26="Yes",$D$26=""),OR($D$32="Yes",$D$32="")),"100%","")</f>
        <v/>
      </c>
      <c r="G96" s="282" t="str">
        <f>IF(OR($D$26="Yes",$D$26=""),"Yes","")</f>
        <v/>
      </c>
    </row>
    <row r="97" spans="2:7" ht="13.55" hidden="1" customHeight="1">
      <c r="B97" s="56" t="s">
        <v>489</v>
      </c>
      <c r="D97" s="282" t="str">
        <f>IF(AND(OR($D$26="Yes",$D$26=""),OR($D$32="Yes",$D$32="")),"No","")</f>
        <v/>
      </c>
      <c r="E97" s="282" t="str">
        <f>IF(AND(OR($D$26="Yes",$D$26=""),OR($D$32="Yes",$D$32="")),"Greater than 90%","")</f>
        <v/>
      </c>
      <c r="G97" s="282" t="str">
        <f>IF(OR($D$26="Yes",$D$26=""),"No","")</f>
        <v/>
      </c>
    </row>
    <row r="98" spans="2:7" ht="15.55" hidden="1">
      <c r="B98" s="56" t="s">
        <v>490</v>
      </c>
      <c r="D98" s="282" t="str">
        <f>IF(AND(OR($D$26="Yes",$D$26=""),OR($D$32="Yes",$D$32="")),"Unknown","")</f>
        <v/>
      </c>
      <c r="E98" s="282" t="str">
        <f>IF(AND(OR($D$26="Yes",$D$26=""),OR($D$32="Yes",$D$32="")),"Greater than 75%","")</f>
        <v/>
      </c>
      <c r="G98" s="282" t="str">
        <f>IF(OR($D$27="Yes",$D$27=""),"Yes","")</f>
        <v>Yes</v>
      </c>
    </row>
    <row r="99" spans="2:7" ht="15.55" hidden="1">
      <c r="B99" s="188">
        <v>1</v>
      </c>
      <c r="D99" s="282" t="str">
        <f>IF(AND(OR($D$27="Yes",$D$27=""),OR($D$33="Yes",$D$33="")),"Yes","")</f>
        <v>Yes</v>
      </c>
      <c r="E99" s="282" t="str">
        <f>IF(AND(OR($D$26="Yes",$D$26=""),OR($D$32="Yes",$D$32="")),"Greater than 50%","")</f>
        <v/>
      </c>
      <c r="G99" s="282" t="str">
        <f>IF(OR($D$27="Yes",$D$27=""),"No","")</f>
        <v>No</v>
      </c>
    </row>
    <row r="100" spans="2:7" ht="15.55" hidden="1">
      <c r="B100" s="236" t="s">
        <v>2480</v>
      </c>
      <c r="D100" s="282" t="str">
        <f>IF(AND(OR($D$27="Yes",$D$27=""),OR($D$33="Yes",$D$33="")),"No","")</f>
        <v>No</v>
      </c>
      <c r="E100" s="282" t="str">
        <f>IF(AND(OR($D$26="Yes",$D$26=""),OR($D$32="Yes",$D$32="")),"50% or less","")</f>
        <v/>
      </c>
      <c r="G100" s="282" t="str">
        <f>IF(OR($D$28="Yes",$D$28=""),"Yes","")</f>
        <v>Yes</v>
      </c>
    </row>
    <row r="101" spans="2:7" ht="15.55" hidden="1">
      <c r="B101" s="236" t="s">
        <v>2481</v>
      </c>
      <c r="D101" s="282" t="str">
        <f>IF(AND(OR($D$27="Yes",$D$27=""),OR($D$33="Yes",$D$33="")),"Unknown","")</f>
        <v>Unknown</v>
      </c>
      <c r="E101" s="282" t="str">
        <f>IF(AND(OR($D$26="Yes",$D$26=""),OR($D$32="Yes",$D$32="")),"None","")</f>
        <v/>
      </c>
      <c r="G101" s="282" t="str">
        <f>IF(OR($D$28="Yes",$D$28=""),"No","")</f>
        <v>No</v>
      </c>
    </row>
    <row r="102" spans="2:7" ht="15.55" hidden="1">
      <c r="B102" s="236" t="s">
        <v>2482</v>
      </c>
      <c r="D102" s="282" t="str">
        <f>IF(AND(OR($D$28="Yes",$D$28=""),OR($D$34="Yes",$D$34="")),"Yes","")</f>
        <v>Yes</v>
      </c>
      <c r="E102" s="282" t="str">
        <f>IF(AND(OR($D$27="Yes",$D$27=""),OR($D$33="Yes",$D$33="")),"100%","")</f>
        <v>100%</v>
      </c>
      <c r="G102" s="282" t="str">
        <f>IF(OR($D$29="Yes",$D$29=""),"Yes","")</f>
        <v/>
      </c>
    </row>
    <row r="103" spans="2:7" ht="15.55" hidden="1">
      <c r="B103" s="236" t="s">
        <v>2483</v>
      </c>
      <c r="D103" s="282" t="str">
        <f>IF(AND(OR($D$28="Yes",$D$28=""),OR($D$34="Yes",$D$34="")),"No","")</f>
        <v>No</v>
      </c>
      <c r="E103" s="282" t="str">
        <f>IF(AND(OR($D$27="Yes",$D$27=""),OR($D$33="Yes",$D$33="")),"Greater than 90%","")</f>
        <v>Greater than 90%</v>
      </c>
      <c r="G103" s="282" t="str">
        <f>IF(OR($D$29="Yes",$D$29=""),"No","")</f>
        <v/>
      </c>
    </row>
    <row r="104" spans="2:7" ht="15.55" hidden="1">
      <c r="B104" s="236" t="s">
        <v>491</v>
      </c>
      <c r="D104" s="282" t="str">
        <f>IF(AND(OR($D$28="Yes",$D$28=""),OR($D$34="Yes",$D$34="")),"Unknown","")</f>
        <v>Unknown</v>
      </c>
      <c r="E104" s="282" t="str">
        <f>IF(AND(OR($D$27="Yes",$D$27=""),OR($D$33="Yes",$D$33="")),"Greater than 75%","")</f>
        <v>Greater than 75%</v>
      </c>
    </row>
    <row r="105" spans="2:7" ht="15.55" hidden="1">
      <c r="B105" s="236" t="s">
        <v>14982</v>
      </c>
      <c r="D105" s="282" t="str">
        <f>IF(AND(OR($D$29="Yes",$D$29=""),OR($D$35="Yes",$D$35="")),"Yes","")</f>
        <v/>
      </c>
      <c r="E105" s="282" t="str">
        <f>IF(AND(OR($D$27="Yes",$D$27=""),OR($D$33="Yes",$D$33="")),"Greater than 50%","")</f>
        <v>Greater than 50%</v>
      </c>
    </row>
    <row r="106" spans="2:7" ht="15.55" hidden="1">
      <c r="B106" s="236" t="s">
        <v>12394</v>
      </c>
      <c r="D106" s="282" t="str">
        <f>IF(AND(OR($D$29="Yes",$D$29=""),OR($D$35="Yes",$D$35="")),"No","")</f>
        <v/>
      </c>
      <c r="E106" s="282" t="str">
        <f>IF(AND(OR($D$27="Yes",$D$27=""),OR($D$33="Yes",$D$33="")),"50% or less","")</f>
        <v>50% or less</v>
      </c>
    </row>
    <row r="107" spans="2:7" ht="15.55" hidden="1">
      <c r="B107" s="236" t="s">
        <v>489</v>
      </c>
      <c r="D107" s="282" t="str">
        <f>IF(AND(OR($D$29="Yes",$D$29=""),OR($D$35="Yes",$D$35="")),"Unknown","")</f>
        <v/>
      </c>
      <c r="E107" s="282" t="str">
        <f>IF(AND(OR($D$27="Yes",$D$27=""),OR($D$33="Yes",$D$33="")),"None","")</f>
        <v>None</v>
      </c>
    </row>
    <row r="108" spans="2:7" ht="15.55" hidden="1">
      <c r="B108" s="236" t="s">
        <v>13974</v>
      </c>
      <c r="E108" s="282" t="str">
        <f>IF(AND(OR($D$28="Yes",$D$28=""),OR($D$34="Yes",$D$34="")),"100%","")</f>
        <v>100%</v>
      </c>
    </row>
    <row r="109" spans="2:7" ht="15.55" hidden="1">
      <c r="B109" s="236" t="s">
        <v>13976</v>
      </c>
      <c r="E109" s="282" t="str">
        <f>IF(AND(OR($D$28="Yes",$D$28=""),OR($D$34="Yes",$D$34="")),"Greater than 90%","")</f>
        <v>Greater than 90%</v>
      </c>
    </row>
    <row r="110" spans="2:7" ht="15.55" hidden="1">
      <c r="B110" s="236" t="s">
        <v>13977</v>
      </c>
      <c r="E110" s="282" t="str">
        <f>IF(AND(OR($D$28="Yes",$D$28=""),OR($D$34="Yes",$D$34="")),"Greater than 75%","")</f>
        <v>Greater than 75%</v>
      </c>
    </row>
    <row r="111" spans="2:7" ht="15.5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A9C4948F-7669-41D2-8FF5-AB29E521794A}"/>
    <hyperlink ref="D20" r:id="rId4" xr:uid="{69F04827-1D1F-493C-B9CE-9573C2F35CB1}"/>
    <hyperlink ref="D16" r:id="rId5" xr:uid="{A4F40BE9-D4D9-40EC-BB7F-44012F2DEB3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64" zoomScaleNormal="100" zoomScalePageLayoutView="55" workbookViewId="0">
      <selection activeCell="C65" sqref="C65:J65"/>
    </sheetView>
  </sheetViews>
  <sheetFormatPr defaultColWidth="8.90625" defaultRowHeight="12.1"/>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2.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
        <v>1125</v>
      </c>
      <c r="C5" s="186" t="s">
        <v>2140</v>
      </c>
      <c r="D5" s="230" t="s">
        <v>2140</v>
      </c>
      <c r="E5" s="182" t="s">
        <v>1104</v>
      </c>
      <c r="F5" s="182" t="s">
        <v>650</v>
      </c>
      <c r="G5" s="182" t="s">
        <v>13240</v>
      </c>
      <c r="H5" s="183">
        <v>0</v>
      </c>
      <c r="I5" s="184" t="s">
        <v>1540</v>
      </c>
      <c r="J5" s="184" t="s">
        <v>1541</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19.899999999999999" customHeight="1">
      <c r="A6" s="262" t="s">
        <v>651</v>
      </c>
      <c r="B6" s="182" t="s">
        <v>1125</v>
      </c>
      <c r="C6" s="186" t="s">
        <v>15441</v>
      </c>
      <c r="D6" s="230" t="s">
        <v>15441</v>
      </c>
      <c r="E6" s="182" t="s">
        <v>1097</v>
      </c>
      <c r="F6" s="182" t="s">
        <v>651</v>
      </c>
      <c r="G6" s="182" t="s">
        <v>13240</v>
      </c>
      <c r="H6" s="183">
        <v>0</v>
      </c>
      <c r="I6" s="184" t="s">
        <v>1542</v>
      </c>
      <c r="J6" s="184" t="s">
        <v>1543</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19.899999999999999" customHeight="1">
      <c r="A7" s="262" t="s">
        <v>653</v>
      </c>
      <c r="B7" s="182" t="s">
        <v>1125</v>
      </c>
      <c r="C7" s="186" t="s">
        <v>12428</v>
      </c>
      <c r="D7" s="230" t="s">
        <v>12428</v>
      </c>
      <c r="E7" s="182" t="s">
        <v>1092</v>
      </c>
      <c r="F7" s="182" t="s">
        <v>653</v>
      </c>
      <c r="G7" s="182" t="s">
        <v>13240</v>
      </c>
      <c r="H7" s="183">
        <v>0</v>
      </c>
      <c r="I7" s="184" t="s">
        <v>1546</v>
      </c>
      <c r="J7" s="184" t="s">
        <v>1547</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IF(C7="",NA(),IF(OR(C7="Smelter not listed",C7="Smelter not yet identified"),MATCH($B7&amp;$D7,'Smelter Look-up'!$J:$J,0),MATCH($B7&amp;$C7,'Smelter Look-up'!$J:$J,0)))</f>
        <v>23</v>
      </c>
      <c r="X7" s="227">
        <f t="shared" si="4"/>
        <v>0</v>
      </c>
      <c r="AB7" s="228" t="str">
        <f t="shared" si="5"/>
        <v>GoldAngloGold Ashanti Corrego do Sitio Mineracao</v>
      </c>
    </row>
    <row r="8" spans="1:34" s="227" customFormat="1" ht="19.899999999999999" customHeight="1">
      <c r="A8" s="262" t="s">
        <v>654</v>
      </c>
      <c r="B8" s="182" t="s">
        <v>1125</v>
      </c>
      <c r="C8" s="186" t="s">
        <v>2284</v>
      </c>
      <c r="D8" s="230" t="s">
        <v>2284</v>
      </c>
      <c r="E8" s="182" t="s">
        <v>1094</v>
      </c>
      <c r="F8" s="182" t="s">
        <v>654</v>
      </c>
      <c r="G8" s="182" t="s">
        <v>13240</v>
      </c>
      <c r="H8" s="183">
        <v>0</v>
      </c>
      <c r="I8" s="184" t="s">
        <v>1548</v>
      </c>
      <c r="J8" s="184" t="s">
        <v>1549</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IF(C8="",NA(),IF(OR(C8="Smelter not listed",C8="Smelter not yet identified"),MATCH($B8&amp;$D8,'Smelter Look-up'!$J:$J,0),MATCH($B8&amp;$C8,'Smelter Look-up'!$J:$J,0)))</f>
        <v>28</v>
      </c>
      <c r="X8" s="227">
        <f t="shared" si="4"/>
        <v>0</v>
      </c>
      <c r="AB8" s="228" t="str">
        <f t="shared" si="5"/>
        <v>GoldArgor-Heraeus S.A.</v>
      </c>
    </row>
    <row r="9" spans="1:34" s="227" customFormat="1" ht="19.899999999999999" customHeight="1">
      <c r="A9" s="262" t="s">
        <v>655</v>
      </c>
      <c r="B9" s="182" t="s">
        <v>1125</v>
      </c>
      <c r="C9" s="186" t="s">
        <v>2285</v>
      </c>
      <c r="D9" s="230" t="s">
        <v>2285</v>
      </c>
      <c r="E9" s="182" t="s">
        <v>1104</v>
      </c>
      <c r="F9" s="182" t="s">
        <v>655</v>
      </c>
      <c r="G9" s="182" t="s">
        <v>13240</v>
      </c>
      <c r="H9" s="183">
        <v>0</v>
      </c>
      <c r="I9" s="184" t="s">
        <v>1550</v>
      </c>
      <c r="J9" s="184" t="s">
        <v>1551</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IF(C9="",NA(),IF(OR(C9="Smelter not listed",C9="Smelter not yet identified"),MATCH($B9&amp;$D9,'Smelter Look-up'!$J:$J,0),MATCH($B9&amp;$C9,'Smelter Look-up'!$J:$J,0)))</f>
        <v>29</v>
      </c>
      <c r="X9" s="227">
        <f t="shared" si="4"/>
        <v>0</v>
      </c>
      <c r="AB9" s="228" t="str">
        <f t="shared" si="5"/>
        <v>GoldAsahi Pretec Corp.</v>
      </c>
    </row>
    <row r="10" spans="1:34" s="227" customFormat="1" ht="19.899999999999999" customHeight="1">
      <c r="A10" s="262" t="s">
        <v>656</v>
      </c>
      <c r="B10" s="182" t="s">
        <v>1125</v>
      </c>
      <c r="C10" s="186" t="s">
        <v>2141</v>
      </c>
      <c r="D10" s="230" t="s">
        <v>2141</v>
      </c>
      <c r="E10" s="182" t="s">
        <v>1104</v>
      </c>
      <c r="F10" s="182" t="s">
        <v>656</v>
      </c>
      <c r="G10" s="182" t="s">
        <v>13240</v>
      </c>
      <c r="H10" s="183">
        <v>0</v>
      </c>
      <c r="I10" s="184" t="s">
        <v>1553</v>
      </c>
      <c r="J10" s="184" t="s">
        <v>1554</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IF(C10="",NA(),IF(OR(C10="Smelter not listed",C10="Smelter not yet identified"),MATCH($B10&amp;$D10,'Smelter Look-up'!$J:$J,0),MATCH($B10&amp;$C10,'Smelter Look-up'!$J:$J,0)))</f>
        <v>32</v>
      </c>
      <c r="X10" s="227">
        <f t="shared" si="4"/>
        <v>0</v>
      </c>
      <c r="AB10" s="228" t="str">
        <f t="shared" si="5"/>
        <v>GoldAsaka Riken Co., Ltd.</v>
      </c>
    </row>
    <row r="11" spans="1:34" s="227" customFormat="1" ht="19.899999999999999" customHeight="1">
      <c r="A11" s="262" t="s">
        <v>658</v>
      </c>
      <c r="B11" s="182" t="s">
        <v>1125</v>
      </c>
      <c r="C11" s="186" t="s">
        <v>1219</v>
      </c>
      <c r="D11" s="230" t="s">
        <v>1219</v>
      </c>
      <c r="E11" s="182" t="s">
        <v>1097</v>
      </c>
      <c r="F11" s="182" t="s">
        <v>658</v>
      </c>
      <c r="G11" s="182" t="s">
        <v>13240</v>
      </c>
      <c r="H11" s="183">
        <v>0</v>
      </c>
      <c r="I11" s="184" t="s">
        <v>1556</v>
      </c>
      <c r="J11" s="184" t="s">
        <v>1556</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IF(C11="",NA(),IF(OR(C11="Smelter not listed",C11="Smelter not yet identified"),MATCH($B11&amp;$D11,'Smelter Look-up'!$J:$J,0),MATCH($B11&amp;$C11,'Smelter Look-up'!$J:$J,0)))</f>
        <v>37</v>
      </c>
      <c r="X11" s="227">
        <f t="shared" si="4"/>
        <v>0</v>
      </c>
      <c r="AB11" s="228" t="str">
        <f t="shared" si="5"/>
        <v>GoldAurubis AG</v>
      </c>
    </row>
    <row r="12" spans="1:34" s="227" customFormat="1" ht="19.899999999999999" customHeight="1">
      <c r="A12" s="262" t="s">
        <v>659</v>
      </c>
      <c r="B12" s="182" t="s">
        <v>1125</v>
      </c>
      <c r="C12" s="186" t="s">
        <v>900</v>
      </c>
      <c r="D12" s="230" t="s">
        <v>900</v>
      </c>
      <c r="E12" s="182" t="s">
        <v>877</v>
      </c>
      <c r="F12" s="182" t="s">
        <v>659</v>
      </c>
      <c r="G12" s="182" t="s">
        <v>13240</v>
      </c>
      <c r="H12" s="183">
        <v>0</v>
      </c>
      <c r="I12" s="184" t="s">
        <v>2201</v>
      </c>
      <c r="J12" s="184" t="s">
        <v>9447</v>
      </c>
      <c r="K12" s="224"/>
      <c r="L12" s="224"/>
      <c r="M12" s="224"/>
      <c r="N12" s="224"/>
      <c r="O12" s="224"/>
      <c r="P12" s="185"/>
      <c r="Q12" s="225"/>
      <c r="R12" s="182" t="str">
        <f ca="1">IF(ISERROR($V12),"",OFFSET('Smelter Look-up'!$C$4,$V12-4,0)&amp;"")</f>
        <v>Bangko Sentral ng Pilipinas (Central Bank of the Philippines)</v>
      </c>
      <c r="S12" s="181" t="str">
        <f t="shared" ca="1" si="3"/>
        <v>PH</v>
      </c>
      <c r="T12" s="181" t="str">
        <f ca="1">IF(B12="","",IF(ISERROR(MATCH($J12,SorP!$B$1:$B$6279,0)),"",INDIRECT("'SorP'!$A$"&amp;MATCH($S12&amp;$J12,SorP!C:C,0))))</f>
        <v>PH-RIZ</v>
      </c>
      <c r="U12" s="201"/>
      <c r="V12" s="226">
        <f>IF(C12="",NA(),IF(OR(C12="Smelter not listed",C12="Smelter not yet identified"),MATCH($B12&amp;$D12,'Smelter Look-up'!$J:$J,0),MATCH($B12&amp;$C12,'Smelter Look-up'!$J:$J,0)))</f>
        <v>41</v>
      </c>
      <c r="X12" s="227">
        <f t="shared" si="4"/>
        <v>0</v>
      </c>
      <c r="AB12" s="228" t="str">
        <f t="shared" si="5"/>
        <v>GoldBangko Sentral ng Pilipinas (Central Bank of the Philippines)</v>
      </c>
    </row>
    <row r="13" spans="1:34" s="227" customFormat="1" ht="19.899999999999999" customHeight="1">
      <c r="A13" s="262" t="s">
        <v>660</v>
      </c>
      <c r="B13" s="182" t="s">
        <v>1125</v>
      </c>
      <c r="C13" s="186" t="s">
        <v>1221</v>
      </c>
      <c r="D13" s="230" t="s">
        <v>1221</v>
      </c>
      <c r="E13" s="182" t="s">
        <v>883</v>
      </c>
      <c r="F13" s="182" t="s">
        <v>660</v>
      </c>
      <c r="G13" s="182" t="s">
        <v>13240</v>
      </c>
      <c r="H13" s="183">
        <v>0</v>
      </c>
      <c r="I13" s="184" t="s">
        <v>1558</v>
      </c>
      <c r="J13" s="184" t="s">
        <v>10275</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IF(C13="",NA(),IF(OR(C13="Smelter not listed",C13="Smelter not yet identified"),MATCH($B13&amp;$D13,'Smelter Look-up'!$J:$J,0),MATCH($B13&amp;$C13,'Smelter Look-up'!$J:$J,0)))</f>
        <v>42</v>
      </c>
      <c r="X13" s="227">
        <f t="shared" si="4"/>
        <v>0</v>
      </c>
      <c r="AB13" s="228" t="str">
        <f t="shared" si="5"/>
        <v>GoldBoliden AB</v>
      </c>
    </row>
    <row r="14" spans="1:34" s="227" customFormat="1" ht="19.899999999999999" customHeight="1">
      <c r="A14" s="262" t="s">
        <v>662</v>
      </c>
      <c r="B14" s="182" t="s">
        <v>1125</v>
      </c>
      <c r="C14" s="186" t="s">
        <v>661</v>
      </c>
      <c r="D14" s="230" t="s">
        <v>661</v>
      </c>
      <c r="E14" s="182" t="s">
        <v>1097</v>
      </c>
      <c r="F14" s="182" t="s">
        <v>662</v>
      </c>
      <c r="G14" s="182" t="s">
        <v>13240</v>
      </c>
      <c r="H14" s="183">
        <v>0</v>
      </c>
      <c r="I14" s="184" t="s">
        <v>1542</v>
      </c>
      <c r="J14" s="184" t="s">
        <v>1543</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IF(C14="",NA(),IF(OR(C14="Smelter not listed",C14="Smelter not yet identified"),MATCH($B14&amp;$D14,'Smelter Look-up'!$J:$J,0),MATCH($B14&amp;$C14,'Smelter Look-up'!$J:$J,0)))</f>
        <v>43</v>
      </c>
      <c r="X14" s="227">
        <f t="shared" si="4"/>
        <v>0</v>
      </c>
      <c r="AB14" s="228" t="str">
        <f t="shared" si="5"/>
        <v>GoldC. Hafner GmbH + Co. KG</v>
      </c>
    </row>
    <row r="15" spans="1:34" s="227" customFormat="1" ht="19.899999999999999" customHeight="1">
      <c r="A15" s="262" t="s">
        <v>664</v>
      </c>
      <c r="B15" s="182" t="s">
        <v>1125</v>
      </c>
      <c r="C15" s="186" t="s">
        <v>2240</v>
      </c>
      <c r="D15" s="230" t="s">
        <v>2240</v>
      </c>
      <c r="E15" s="182" t="s">
        <v>1093</v>
      </c>
      <c r="F15" s="182" t="s">
        <v>664</v>
      </c>
      <c r="G15" s="182" t="s">
        <v>13240</v>
      </c>
      <c r="H15" s="183">
        <v>0</v>
      </c>
      <c r="I15" s="184" t="s">
        <v>1561</v>
      </c>
      <c r="J15" s="184" t="s">
        <v>1562</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IF(C15="",NA(),IF(OR(C15="Smelter not listed",C15="Smelter not yet identified"),MATCH($B15&amp;$D15,'Smelter Look-up'!$J:$J,0),MATCH($B15&amp;$C15,'Smelter Look-up'!$J:$J,0)))</f>
        <v>47</v>
      </c>
      <c r="X15" s="227">
        <f t="shared" si="4"/>
        <v>0</v>
      </c>
      <c r="AB15" s="228" t="str">
        <f t="shared" si="5"/>
        <v>GoldCCR Refinery - Glencore Canada Corporation</v>
      </c>
    </row>
    <row r="16" spans="1:34" s="227" customFormat="1" ht="19.899999999999999" customHeight="1">
      <c r="A16" s="262" t="s">
        <v>666</v>
      </c>
      <c r="B16" s="182" t="s">
        <v>1125</v>
      </c>
      <c r="C16" s="186" t="s">
        <v>53</v>
      </c>
      <c r="D16" s="230" t="s">
        <v>53</v>
      </c>
      <c r="E16" s="182" t="s">
        <v>1103</v>
      </c>
      <c r="F16" s="182" t="s">
        <v>666</v>
      </c>
      <c r="G16" s="182" t="s">
        <v>13240</v>
      </c>
      <c r="H16" s="183">
        <v>0</v>
      </c>
      <c r="I16" s="184" t="s">
        <v>1569</v>
      </c>
      <c r="J16" s="184" t="s">
        <v>6470</v>
      </c>
      <c r="K16" s="224"/>
      <c r="L16" s="224"/>
      <c r="M16" s="224"/>
      <c r="N16" s="224"/>
      <c r="O16" s="224"/>
      <c r="P16" s="185"/>
      <c r="Q16" s="225"/>
      <c r="R16" s="182" t="str">
        <f ca="1">IF(ISERROR($V16),"",OFFSET('Smelter Look-up'!$C$4,$V16-4,0)&amp;"")</f>
        <v>Chimet S.p.A.</v>
      </c>
      <c r="S16" s="181" t="str">
        <f t="shared" ca="1" si="3"/>
        <v>IT</v>
      </c>
      <c r="T16" s="181" t="str">
        <f ca="1">IF(B16="","",IF(ISERROR(MATCH($J16,SorP!$B$1:$B$6279,0)),"",INDIRECT("'SorP'!$A$"&amp;MATCH($S16&amp;$J16,SorP!C:C,0))))</f>
        <v>IT-52</v>
      </c>
      <c r="U16" s="201"/>
      <c r="V16" s="226">
        <f>IF(C16="",NA(),IF(OR(C16="Smelter not listed",C16="Smelter not yet identified"),MATCH($B16&amp;$D16,'Smelter Look-up'!$J:$J,0),MATCH($B16&amp;$C16,'Smelter Look-up'!$J:$J,0)))</f>
        <v>55</v>
      </c>
      <c r="X16" s="227">
        <f t="shared" si="4"/>
        <v>0</v>
      </c>
      <c r="AB16" s="228" t="str">
        <f t="shared" si="5"/>
        <v>GoldChimet S.p.A.</v>
      </c>
    </row>
    <row r="17" spans="1:28" s="227" customFormat="1" ht="19.899999999999999" customHeight="1">
      <c r="A17" s="262" t="s">
        <v>671</v>
      </c>
      <c r="B17" s="182" t="s">
        <v>1125</v>
      </c>
      <c r="C17" s="186" t="s">
        <v>902</v>
      </c>
      <c r="D17" s="230" t="s">
        <v>902</v>
      </c>
      <c r="E17" s="182" t="s">
        <v>1104</v>
      </c>
      <c r="F17" s="182" t="s">
        <v>671</v>
      </c>
      <c r="G17" s="182" t="s">
        <v>13240</v>
      </c>
      <c r="H17" s="183">
        <v>0</v>
      </c>
      <c r="I17" s="184" t="s">
        <v>1574</v>
      </c>
      <c r="J17" s="184" t="s">
        <v>1575</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IF(C17="",NA(),IF(OR(C17="Smelter not listed",C17="Smelter not yet identified"),MATCH($B17&amp;$D17,'Smelter Look-up'!$J:$J,0),MATCH($B17&amp;$C17,'Smelter Look-up'!$J:$J,0)))</f>
        <v>67</v>
      </c>
      <c r="X17" s="227">
        <f t="shared" si="4"/>
        <v>0</v>
      </c>
      <c r="AB17" s="228" t="str">
        <f t="shared" si="5"/>
        <v>GoldDowa</v>
      </c>
    </row>
    <row r="18" spans="1:28" s="227" customFormat="1" ht="19.899999999999999" customHeight="1">
      <c r="A18" s="181" t="s">
        <v>397</v>
      </c>
      <c r="B18" s="182" t="s">
        <v>1125</v>
      </c>
      <c r="C18" s="186" t="s">
        <v>13839</v>
      </c>
      <c r="D18" s="230" t="s">
        <v>13839</v>
      </c>
      <c r="E18" s="182" t="s">
        <v>1104</v>
      </c>
      <c r="F18" s="182" t="s">
        <v>397</v>
      </c>
      <c r="G18" s="182" t="s">
        <v>13240</v>
      </c>
      <c r="H18" s="183">
        <v>0</v>
      </c>
      <c r="I18" s="184" t="s">
        <v>1579</v>
      </c>
      <c r="J18" s="184" t="s">
        <v>1580</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IF(C18="",NA(),IF(OR(C18="Smelter not listed",C18="Smelter not yet identified"),MATCH($B18&amp;$D18,'Smelter Look-up'!$J:$J,0),MATCH($B18&amp;$C18,'Smelter Look-up'!$J:$J,0)))</f>
        <v>72</v>
      </c>
      <c r="X18" s="227">
        <f t="shared" si="4"/>
        <v>0</v>
      </c>
      <c r="AB18" s="228" t="str">
        <f t="shared" si="5"/>
        <v>GoldEco-System Recycling Co., Ltd. East Plant</v>
      </c>
    </row>
    <row r="19" spans="1:28" s="227" customFormat="1" ht="48.4">
      <c r="A19" s="181" t="s">
        <v>676</v>
      </c>
      <c r="B19" s="182" t="s">
        <v>1125</v>
      </c>
      <c r="C19" s="186" t="s">
        <v>1035</v>
      </c>
      <c r="D19" s="230" t="s">
        <v>1035</v>
      </c>
      <c r="E19" s="182" t="s">
        <v>1097</v>
      </c>
      <c r="F19" s="182" t="s">
        <v>676</v>
      </c>
      <c r="G19" s="182" t="s">
        <v>13240</v>
      </c>
      <c r="H19" s="183">
        <v>0</v>
      </c>
      <c r="I19" s="184" t="s">
        <v>1542</v>
      </c>
      <c r="J19" s="184" t="s">
        <v>1543</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IF(C19="",NA(),IF(OR(C19="Smelter not listed",C19="Smelter not yet identified"),MATCH($B19&amp;$D19,'Smelter Look-up'!$J:$J,0),MATCH($B19&amp;$C19,'Smelter Look-up'!$J:$J,0)))</f>
        <v>101</v>
      </c>
      <c r="X19" s="227">
        <f t="shared" si="4"/>
        <v>0</v>
      </c>
      <c r="AB19" s="228" t="str">
        <f t="shared" si="5"/>
        <v>GoldHeimerle + Meule GmbH</v>
      </c>
    </row>
    <row r="20" spans="1:28" s="227" customFormat="1" ht="48.4">
      <c r="A20" s="181" t="s">
        <v>677</v>
      </c>
      <c r="B20" s="182" t="s">
        <v>1125</v>
      </c>
      <c r="C20" s="186" t="s">
        <v>54</v>
      </c>
      <c r="D20" s="230" t="s">
        <v>2500</v>
      </c>
      <c r="E20" s="182" t="s">
        <v>1096</v>
      </c>
      <c r="F20" s="182" t="s">
        <v>677</v>
      </c>
      <c r="G20" s="182" t="s">
        <v>13240</v>
      </c>
      <c r="H20" s="183">
        <v>0</v>
      </c>
      <c r="I20" s="184" t="s">
        <v>1588</v>
      </c>
      <c r="J20" s="184" t="s">
        <v>15802</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
      </c>
      <c r="U20" s="201"/>
      <c r="V20" s="226">
        <f>IF(C20="",NA(),IF(OR(C20="Smelter not listed",C20="Smelter not yet identified"),MATCH($B20&amp;$D20,'Smelter Look-up'!$J:$J,0),MATCH($B20&amp;$C20,'Smelter Look-up'!$J:$J,0)))</f>
        <v>106</v>
      </c>
      <c r="X20" s="227">
        <f t="shared" si="4"/>
        <v>0</v>
      </c>
      <c r="AB20" s="228" t="str">
        <f t="shared" si="5"/>
        <v>GoldHeraeus Ltd. Hong Kong</v>
      </c>
    </row>
    <row r="21" spans="1:28" s="227" customFormat="1" ht="108.9">
      <c r="A21" s="181" t="s">
        <v>681</v>
      </c>
      <c r="B21" s="182" t="s">
        <v>1125</v>
      </c>
      <c r="C21" s="186" t="s">
        <v>2298</v>
      </c>
      <c r="D21" s="230" t="s">
        <v>2298</v>
      </c>
      <c r="E21" s="182" t="s">
        <v>1096</v>
      </c>
      <c r="F21" s="182" t="s">
        <v>681</v>
      </c>
      <c r="G21" s="182" t="s">
        <v>13240</v>
      </c>
      <c r="H21" s="183">
        <v>0</v>
      </c>
      <c r="I21" s="184" t="s">
        <v>1593</v>
      </c>
      <c r="J21" s="184" t="s">
        <v>15803</v>
      </c>
      <c r="K21" s="224"/>
      <c r="L21" s="224"/>
      <c r="M21" s="224"/>
      <c r="N21" s="224"/>
      <c r="O21" s="224"/>
      <c r="P21" s="185"/>
      <c r="Q21" s="225"/>
      <c r="R21" s="182" t="str">
        <f ca="1">IF(ISERROR($V21),"",OFFSET('Smelter Look-up'!$C$4,$V21-4,0)&amp;"")</f>
        <v>Inner Mongolia Qiankun Gold and Silver Refinery Share Co., Ltd.</v>
      </c>
      <c r="S21" s="181" t="str">
        <f t="shared" ca="1" si="3"/>
        <v>CN</v>
      </c>
      <c r="T21" s="181" t="str">
        <f ca="1">IF(B21="","",IF(ISERROR(MATCH($J21,SorP!$B$1:$B$6279,0)),"",INDIRECT("'SorP'!$A$"&amp;MATCH($S21&amp;$J21,SorP!C:C,0))))</f>
        <v/>
      </c>
      <c r="U21" s="201"/>
      <c r="V21" s="226">
        <f>IF(C21="",NA(),IF(OR(C21="Smelter not listed",C21="Smelter not yet identified"),MATCH($B21&amp;$D21,'Smelter Look-up'!$J:$J,0),MATCH($B21&amp;$C21,'Smelter Look-up'!$J:$J,0)))</f>
        <v>116</v>
      </c>
      <c r="X21" s="227">
        <f t="shared" si="4"/>
        <v>0</v>
      </c>
      <c r="AB21" s="228" t="str">
        <f t="shared" si="5"/>
        <v>GoldInner Mongolia Qiankun Gold and Silver Refinery Share Co., Ltd.</v>
      </c>
    </row>
    <row r="22" spans="1:28" s="227" customFormat="1" ht="60.5">
      <c r="A22" s="181" t="s">
        <v>682</v>
      </c>
      <c r="B22" s="182" t="s">
        <v>1125</v>
      </c>
      <c r="C22" s="186" t="s">
        <v>1223</v>
      </c>
      <c r="D22" s="230" t="s">
        <v>1223</v>
      </c>
      <c r="E22" s="182" t="s">
        <v>1104</v>
      </c>
      <c r="F22" s="182" t="s">
        <v>682</v>
      </c>
      <c r="G22" s="182" t="s">
        <v>13240</v>
      </c>
      <c r="H22" s="183">
        <v>0</v>
      </c>
      <c r="I22" s="184" t="s">
        <v>1594</v>
      </c>
      <c r="J22" s="184" t="s">
        <v>1580</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118</v>
      </c>
      <c r="X22" s="227">
        <f t="shared" si="4"/>
        <v>0</v>
      </c>
      <c r="AB22" s="228" t="str">
        <f t="shared" si="5"/>
        <v>GoldIshifuku Metal Industry Co., Ltd.</v>
      </c>
    </row>
    <row r="23" spans="1:28" s="227" customFormat="1" ht="48.4">
      <c r="A23" s="181" t="s">
        <v>683</v>
      </c>
      <c r="B23" s="182" t="s">
        <v>1125</v>
      </c>
      <c r="C23" s="186" t="s">
        <v>1230</v>
      </c>
      <c r="D23" s="230" t="s">
        <v>1230</v>
      </c>
      <c r="E23" s="182" t="s">
        <v>885</v>
      </c>
      <c r="F23" s="182" t="s">
        <v>683</v>
      </c>
      <c r="G23" s="182" t="s">
        <v>13240</v>
      </c>
      <c r="H23" s="183">
        <v>0</v>
      </c>
      <c r="I23" s="184" t="s">
        <v>1595</v>
      </c>
      <c r="J23" s="184" t="s">
        <v>11268</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IF(C23="",NA(),IF(OR(C23="Smelter not listed",C23="Smelter not yet identified"),MATCH($B23&amp;$D23,'Smelter Look-up'!$J:$J,0),MATCH($B23&amp;$C23,'Smelter Look-up'!$J:$J,0)))</f>
        <v>119</v>
      </c>
      <c r="X23" s="227">
        <f t="shared" si="4"/>
        <v>0</v>
      </c>
      <c r="AB23" s="228" t="str">
        <f t="shared" si="5"/>
        <v>GoldIstanbul Gold Refinery</v>
      </c>
    </row>
    <row r="24" spans="1:28" s="227" customFormat="1" ht="24.2">
      <c r="A24" s="181" t="s">
        <v>684</v>
      </c>
      <c r="B24" s="182" t="s">
        <v>1125</v>
      </c>
      <c r="C24" s="186" t="s">
        <v>904</v>
      </c>
      <c r="D24" s="230" t="s">
        <v>904</v>
      </c>
      <c r="E24" s="182" t="s">
        <v>1104</v>
      </c>
      <c r="F24" s="182" t="s">
        <v>684</v>
      </c>
      <c r="G24" s="182" t="s">
        <v>13240</v>
      </c>
      <c r="H24" s="183">
        <v>0</v>
      </c>
      <c r="I24" s="184" t="s">
        <v>1596</v>
      </c>
      <c r="J24" s="184" t="s">
        <v>1596</v>
      </c>
      <c r="K24" s="224"/>
      <c r="L24" s="224"/>
      <c r="M24" s="224"/>
      <c r="N24" s="224"/>
      <c r="O24" s="224"/>
      <c r="P24" s="185"/>
      <c r="Q24" s="225"/>
      <c r="R24" s="182" t="str">
        <f ca="1">IF(ISERROR($V24),"",OFFSET('Smelter Look-up'!$C$4,$V24-4,0)&amp;"")</f>
        <v>Japan Mint</v>
      </c>
      <c r="S24" s="181" t="str">
        <f t="shared" ca="1" si="3"/>
        <v>JP</v>
      </c>
      <c r="T24" s="181" t="str">
        <f ca="1">IF(B24="","",IF(ISERROR(MATCH($J24,SorP!$B$1:$B$6279,0)),"",INDIRECT("'SorP'!$A$"&amp;MATCH($S24&amp;$J24,SorP!C:C,0))))</f>
        <v>JP-27</v>
      </c>
      <c r="U24" s="201"/>
      <c r="V24" s="226">
        <f>IF(C24="",NA(),IF(OR(C24="Smelter not listed",C24="Smelter not yet identified"),MATCH($B24&amp;$D24,'Smelter Look-up'!$J:$J,0),MATCH($B24&amp;$C24,'Smelter Look-up'!$J:$J,0)))</f>
        <v>122</v>
      </c>
      <c r="X24" s="227">
        <f t="shared" si="4"/>
        <v>0</v>
      </c>
      <c r="AB24" s="228" t="str">
        <f t="shared" si="5"/>
        <v>GoldJapan Mint</v>
      </c>
    </row>
    <row r="25" spans="1:28" s="227" customFormat="1" ht="48.4">
      <c r="A25" s="181" t="s">
        <v>685</v>
      </c>
      <c r="B25" s="182" t="s">
        <v>1125</v>
      </c>
      <c r="C25" s="186" t="s">
        <v>2299</v>
      </c>
      <c r="D25" s="230" t="s">
        <v>2299</v>
      </c>
      <c r="E25" s="182" t="s">
        <v>1096</v>
      </c>
      <c r="F25" s="182" t="s">
        <v>685</v>
      </c>
      <c r="G25" s="182" t="s">
        <v>13240</v>
      </c>
      <c r="H25" s="183">
        <v>0</v>
      </c>
      <c r="I25" s="184" t="s">
        <v>1597</v>
      </c>
      <c r="J25" s="184" t="s">
        <v>15804</v>
      </c>
      <c r="K25" s="224"/>
      <c r="L25" s="224"/>
      <c r="M25" s="224"/>
      <c r="N25" s="224"/>
      <c r="O25" s="224"/>
      <c r="P25" s="185"/>
      <c r="Q25" s="225"/>
      <c r="R25" s="182" t="str">
        <f ca="1">IF(ISERROR($V25),"",OFFSET('Smelter Look-up'!$C$4,$V25-4,0)&amp;"")</f>
        <v>Jiangxi Copper Co.,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124</v>
      </c>
      <c r="X25" s="227">
        <f t="shared" si="4"/>
        <v>0</v>
      </c>
      <c r="AB25" s="228" t="str">
        <f t="shared" si="5"/>
        <v>GoldJiangxi Copper Co., Ltd.</v>
      </c>
    </row>
    <row r="26" spans="1:28" s="227" customFormat="1" ht="48.4">
      <c r="A26" s="181" t="s">
        <v>686</v>
      </c>
      <c r="B26" s="182" t="s">
        <v>1125</v>
      </c>
      <c r="C26" s="186" t="s">
        <v>2200</v>
      </c>
      <c r="D26" s="230" t="s">
        <v>2200</v>
      </c>
      <c r="E26" s="182" t="s">
        <v>15805</v>
      </c>
      <c r="F26" s="182" t="s">
        <v>686</v>
      </c>
      <c r="G26" s="182" t="s">
        <v>13240</v>
      </c>
      <c r="H26" s="183">
        <v>0</v>
      </c>
      <c r="I26" s="184" t="s">
        <v>1599</v>
      </c>
      <c r="J26" s="184" t="s">
        <v>1600</v>
      </c>
      <c r="K26" s="224"/>
      <c r="L26" s="224"/>
      <c r="M26" s="224"/>
      <c r="N26" s="224"/>
      <c r="O26" s="224"/>
      <c r="P26" s="185"/>
      <c r="Q26" s="225"/>
      <c r="R26" s="182" t="str">
        <f ca="1">IF(ISERROR($V26),"",OFFSET('Smelter Look-up'!$C$4,$V26-4,0)&amp;"")</f>
        <v>Asahi Refining USA Inc.</v>
      </c>
      <c r="S26" s="181" t="str">
        <f t="shared" ca="1" si="3"/>
        <v>Unknown</v>
      </c>
      <c r="T26" s="181" t="e">
        <f ca="1">IF(B26="","",IF(ISERROR(MATCH($J26,SorP!$B$1:$B$6279,0)),"",INDIRECT("'SorP'!$A$"&amp;MATCH($S26&amp;$J26,SorP!C:C,0))))</f>
        <v>#N/A</v>
      </c>
      <c r="U26" s="201"/>
      <c r="V26" s="226">
        <f>IF(C26="",NA(),IF(OR(C26="Smelter not listed",C26="Smelter not yet identified"),MATCH($B26&amp;$D26,'Smelter Look-up'!$J:$J,0),MATCH($B26&amp;$C26,'Smelter Look-up'!$J:$J,0)))</f>
        <v>31</v>
      </c>
      <c r="X26" s="227">
        <f t="shared" si="4"/>
        <v>0</v>
      </c>
      <c r="AB26" s="228" t="str">
        <f t="shared" si="5"/>
        <v>GoldAsahi Refining USA Inc.</v>
      </c>
    </row>
    <row r="27" spans="1:28" s="227" customFormat="1" ht="60.5">
      <c r="A27" s="181" t="s">
        <v>687</v>
      </c>
      <c r="B27" s="182" t="s">
        <v>1125</v>
      </c>
      <c r="C27" s="186" t="s">
        <v>2286</v>
      </c>
      <c r="D27" s="230" t="s">
        <v>2286</v>
      </c>
      <c r="E27" s="182" t="s">
        <v>1093</v>
      </c>
      <c r="F27" s="182" t="s">
        <v>687</v>
      </c>
      <c r="G27" s="182" t="s">
        <v>13240</v>
      </c>
      <c r="H27" s="183">
        <v>0</v>
      </c>
      <c r="I27" s="184" t="s">
        <v>1602</v>
      </c>
      <c r="J27" s="184" t="s">
        <v>1603</v>
      </c>
      <c r="K27" s="224"/>
      <c r="L27" s="224"/>
      <c r="M27" s="224"/>
      <c r="N27" s="224"/>
      <c r="O27" s="224"/>
      <c r="P27" s="185"/>
      <c r="Q27" s="225"/>
      <c r="R27" s="182" t="str">
        <f ca="1">IF(ISERROR($V27),"",OFFSET('Smelter Look-up'!$C$4,$V27-4,0)&amp;"")</f>
        <v>Asahi Refining Canada Ltd.</v>
      </c>
      <c r="S27" s="181" t="str">
        <f t="shared" ca="1" si="3"/>
        <v>CA</v>
      </c>
      <c r="T27" s="181" t="str">
        <f ca="1">IF(B27="","",IF(ISERROR(MATCH($J27,SorP!$B$1:$B$6279,0)),"",INDIRECT("'SorP'!$A$"&amp;MATCH($S27&amp;$J27,SorP!C:C,0))))</f>
        <v>CA-ON</v>
      </c>
      <c r="U27" s="201"/>
      <c r="V27" s="226">
        <f>IF(C27="",NA(),IF(OR(C27="Smelter not listed",C27="Smelter not yet identified"),MATCH($B27&amp;$D27,'Smelter Look-up'!$J:$J,0),MATCH($B27&amp;$C27,'Smelter Look-up'!$J:$J,0)))</f>
        <v>30</v>
      </c>
      <c r="X27" s="227">
        <f t="shared" si="4"/>
        <v>0</v>
      </c>
      <c r="AB27" s="228" t="str">
        <f t="shared" si="5"/>
        <v>GoldAsahi Refining Canada Ltd.</v>
      </c>
    </row>
    <row r="28" spans="1:28" s="227" customFormat="1" ht="60.5">
      <c r="A28" s="181" t="s">
        <v>690</v>
      </c>
      <c r="B28" s="182" t="s">
        <v>1125</v>
      </c>
      <c r="C28" s="186" t="s">
        <v>55</v>
      </c>
      <c r="D28" s="230" t="s">
        <v>55</v>
      </c>
      <c r="E28" s="182" t="s">
        <v>1104</v>
      </c>
      <c r="F28" s="182" t="s">
        <v>690</v>
      </c>
      <c r="G28" s="182" t="s">
        <v>13240</v>
      </c>
      <c r="H28" s="183">
        <v>0</v>
      </c>
      <c r="I28" s="184" t="s">
        <v>2362</v>
      </c>
      <c r="J28" s="184" t="s">
        <v>6664</v>
      </c>
      <c r="K28" s="224"/>
      <c r="L28" s="224"/>
      <c r="M28" s="224"/>
      <c r="N28" s="224"/>
      <c r="O28" s="224"/>
      <c r="P28" s="185"/>
      <c r="Q28" s="225"/>
      <c r="R28" s="182" t="str">
        <f ca="1">IF(ISERROR($V28),"",OFFSET('Smelter Look-up'!$C$4,$V28-4,0)&amp;"")</f>
        <v>JX Nippon Mining &amp; Metals Co., Ltd.</v>
      </c>
      <c r="S28" s="181" t="str">
        <f t="shared" ca="1" si="3"/>
        <v>JP</v>
      </c>
      <c r="T28" s="181" t="str">
        <f ca="1">IF(B28="","",IF(ISERROR(MATCH($J28,SorP!$B$1:$B$6279,0)),"",INDIRECT("'SorP'!$A$"&amp;MATCH($S28&amp;$J28,SorP!C:C,0))))</f>
        <v>JP-44</v>
      </c>
      <c r="U28" s="201"/>
      <c r="V28" s="226">
        <f>IF(C28="",NA(),IF(OR(C28="Smelter not listed",C28="Smelter not yet identified"),MATCH($B28&amp;$D28,'Smelter Look-up'!$J:$J,0),MATCH($B28&amp;$C28,'Smelter Look-up'!$J:$J,0)))</f>
        <v>132</v>
      </c>
      <c r="X28" s="227">
        <f t="shared" si="4"/>
        <v>0</v>
      </c>
      <c r="AB28" s="228" t="str">
        <f t="shared" si="5"/>
        <v>GoldJX Nippon Mining &amp; Metals Co., Ltd.</v>
      </c>
    </row>
    <row r="29" spans="1:28" s="227" customFormat="1" ht="24.2">
      <c r="A29" s="181" t="s">
        <v>691</v>
      </c>
      <c r="B29" s="182" t="s">
        <v>1125</v>
      </c>
      <c r="C29" s="186" t="s">
        <v>1605</v>
      </c>
      <c r="D29" s="230" t="s">
        <v>1605</v>
      </c>
      <c r="E29" s="182" t="s">
        <v>1105</v>
      </c>
      <c r="F29" s="182" t="s">
        <v>691</v>
      </c>
      <c r="G29" s="182" t="s">
        <v>13240</v>
      </c>
      <c r="H29" s="183">
        <v>0</v>
      </c>
      <c r="I29" s="184" t="s">
        <v>1606</v>
      </c>
      <c r="J29" s="184" t="s">
        <v>7058</v>
      </c>
      <c r="K29" s="224"/>
      <c r="L29" s="224"/>
      <c r="M29" s="224"/>
      <c r="N29" s="224"/>
      <c r="O29" s="224"/>
      <c r="P29" s="185"/>
      <c r="Q29" s="225"/>
      <c r="R29" s="182" t="str">
        <f ca="1">IF(ISERROR($V29),"",OFFSET('Smelter Look-up'!$C$4,$V29-4,0)&amp;"")</f>
        <v>Kazzinc</v>
      </c>
      <c r="S29" s="181" t="str">
        <f t="shared" ca="1" si="3"/>
        <v>KZ</v>
      </c>
      <c r="T29" s="181" t="str">
        <f ca="1">IF(B29="","",IF(ISERROR(MATCH($J29,SorP!$B$1:$B$6279,0)),"",INDIRECT("'SorP'!$A$"&amp;MATCH($S29&amp;$J29,SorP!C:C,0))))</f>
        <v>KZ-KAR</v>
      </c>
      <c r="U29" s="201"/>
      <c r="V29" s="226">
        <f>IF(C29="",NA(),IF(OR(C29="Smelter not listed",C29="Smelter not yet identified"),MATCH($B29&amp;$D29,'Smelter Look-up'!$J:$J,0),MATCH($B29&amp;$C29,'Smelter Look-up'!$J:$J,0)))</f>
        <v>136</v>
      </c>
      <c r="X29" s="227">
        <f t="shared" si="4"/>
        <v>0</v>
      </c>
      <c r="AB29" s="228" t="str">
        <f t="shared" si="5"/>
        <v>GoldKazzinc</v>
      </c>
    </row>
    <row r="30" spans="1:28" s="227" customFormat="1" ht="60.5">
      <c r="A30" s="181" t="s">
        <v>693</v>
      </c>
      <c r="B30" s="182" t="s">
        <v>1125</v>
      </c>
      <c r="C30" s="186" t="s">
        <v>692</v>
      </c>
      <c r="D30" s="230" t="s">
        <v>692</v>
      </c>
      <c r="E30" s="182" t="s">
        <v>15805</v>
      </c>
      <c r="F30" s="182" t="s">
        <v>693</v>
      </c>
      <c r="G30" s="182" t="s">
        <v>13240</v>
      </c>
      <c r="H30" s="183">
        <v>0</v>
      </c>
      <c r="I30" s="184" t="s">
        <v>1607</v>
      </c>
      <c r="J30" s="184" t="s">
        <v>1600</v>
      </c>
      <c r="K30" s="224"/>
      <c r="L30" s="224"/>
      <c r="M30" s="224"/>
      <c r="N30" s="224"/>
      <c r="O30" s="224"/>
      <c r="P30" s="185"/>
      <c r="Q30" s="225"/>
      <c r="R30" s="182" t="str">
        <f ca="1">IF(ISERROR($V30),"",OFFSET('Smelter Look-up'!$C$4,$V30-4,0)&amp;"")</f>
        <v>Kennecott Utah Copper LLC</v>
      </c>
      <c r="S30" s="181" t="str">
        <f t="shared" ca="1" si="3"/>
        <v>Unknown</v>
      </c>
      <c r="T30" s="181" t="e">
        <f ca="1">IF(B30="","",IF(ISERROR(MATCH($J30,SorP!$B$1:$B$6279,0)),"",INDIRECT("'SorP'!$A$"&amp;MATCH($S30&amp;$J30,SorP!C:C,0))))</f>
        <v>#N/A</v>
      </c>
      <c r="U30" s="201"/>
      <c r="V30" s="226">
        <f>IF(C30="",NA(),IF(OR(C30="Smelter not listed",C30="Smelter not yet identified"),MATCH($B30&amp;$D30,'Smelter Look-up'!$J:$J,0),MATCH($B30&amp;$C30,'Smelter Look-up'!$J:$J,0)))</f>
        <v>137</v>
      </c>
      <c r="X30" s="227">
        <f t="shared" si="4"/>
        <v>0</v>
      </c>
      <c r="AB30" s="228" t="str">
        <f t="shared" si="5"/>
        <v>GoldKennecott Utah Copper LLC</v>
      </c>
    </row>
    <row r="31" spans="1:28" s="227" customFormat="1" ht="60.5">
      <c r="A31" s="181" t="s">
        <v>694</v>
      </c>
      <c r="B31" s="182" t="s">
        <v>1125</v>
      </c>
      <c r="C31" s="186" t="s">
        <v>2147</v>
      </c>
      <c r="D31" s="230" t="s">
        <v>2147</v>
      </c>
      <c r="E31" s="182" t="s">
        <v>1104</v>
      </c>
      <c r="F31" s="182" t="s">
        <v>694</v>
      </c>
      <c r="G31" s="182" t="s">
        <v>13240</v>
      </c>
      <c r="H31" s="183">
        <v>0</v>
      </c>
      <c r="I31" s="184" t="s">
        <v>1608</v>
      </c>
      <c r="J31" s="184" t="s">
        <v>1580</v>
      </c>
      <c r="K31" s="224"/>
      <c r="L31" s="224"/>
      <c r="M31" s="224"/>
      <c r="N31" s="224"/>
      <c r="O31" s="224"/>
      <c r="P31" s="185"/>
      <c r="Q31" s="225"/>
      <c r="R31" s="182" t="str">
        <f ca="1">IF(ISERROR($V31),"",OFFSET('Smelter Look-up'!$C$4,$V31-4,0)&amp;"")</f>
        <v>Kojima Chemicals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141</v>
      </c>
      <c r="X31" s="227">
        <f t="shared" si="4"/>
        <v>0</v>
      </c>
      <c r="AB31" s="228" t="str">
        <f t="shared" si="5"/>
        <v>GoldKojima Chemicals Co., Ltd.</v>
      </c>
    </row>
    <row r="32" spans="1:28" s="227" customFormat="1" ht="48.4">
      <c r="A32" s="181" t="s">
        <v>698</v>
      </c>
      <c r="B32" s="182" t="s">
        <v>1125</v>
      </c>
      <c r="C32" s="186" t="s">
        <v>56</v>
      </c>
      <c r="D32" s="230" t="s">
        <v>56</v>
      </c>
      <c r="E32" s="182" t="s">
        <v>1107</v>
      </c>
      <c r="F32" s="182" t="s">
        <v>698</v>
      </c>
      <c r="G32" s="182" t="s">
        <v>13240</v>
      </c>
      <c r="H32" s="183">
        <v>0</v>
      </c>
      <c r="I32" s="184" t="s">
        <v>1613</v>
      </c>
      <c r="J32" s="184" t="s">
        <v>12867</v>
      </c>
      <c r="K32" s="224"/>
      <c r="L32" s="224"/>
      <c r="M32" s="224"/>
      <c r="N32" s="224"/>
      <c r="O32" s="224"/>
      <c r="P32" s="185"/>
      <c r="Q32" s="225"/>
      <c r="R32" s="182" t="str">
        <f ca="1">IF(ISERROR($V32),"",OFFSET('Smelter Look-up'!$C$4,$V32-4,0)&amp;"")</f>
        <v>LS-NIKKO Copper Inc.</v>
      </c>
      <c r="S32" s="181" t="str">
        <f t="shared" ca="1" si="3"/>
        <v>KR</v>
      </c>
      <c r="T32" s="181" t="str">
        <f ca="1">IF(B32="","",IF(ISERROR(MATCH($J32,SorP!$B$1:$B$6279,0)),"",INDIRECT("'SorP'!$A$"&amp;MATCH($S32&amp;$J32,SorP!C:C,0))))</f>
        <v>KR-31</v>
      </c>
      <c r="U32" s="201"/>
      <c r="V32" s="226">
        <f>IF(C32="",NA(),IF(OR(C32="Smelter not listed",C32="Smelter not yet identified"),MATCH($B32&amp;$D32,'Smelter Look-up'!$J:$J,0),MATCH($B32&amp;$C32,'Smelter Look-up'!$J:$J,0)))</f>
        <v>157</v>
      </c>
      <c r="X32" s="227">
        <f t="shared" si="4"/>
        <v>0</v>
      </c>
      <c r="AB32" s="228" t="str">
        <f t="shared" si="5"/>
        <v>GoldLS-NIKKO Copper Inc.</v>
      </c>
    </row>
    <row r="33" spans="1:28" s="227" customFormat="1" ht="24.2">
      <c r="A33" s="181" t="s">
        <v>701</v>
      </c>
      <c r="B33" s="182" t="s">
        <v>1125</v>
      </c>
      <c r="C33" s="186" t="s">
        <v>906</v>
      </c>
      <c r="D33" s="230" t="s">
        <v>906</v>
      </c>
      <c r="E33" s="182" t="s">
        <v>15805</v>
      </c>
      <c r="F33" s="182" t="s">
        <v>701</v>
      </c>
      <c r="G33" s="182" t="s">
        <v>13240</v>
      </c>
      <c r="H33" s="183">
        <v>0</v>
      </c>
      <c r="I33" s="184" t="s">
        <v>1616</v>
      </c>
      <c r="J33" s="184" t="s">
        <v>1617</v>
      </c>
      <c r="K33" s="224"/>
      <c r="L33" s="224"/>
      <c r="M33" s="224"/>
      <c r="N33" s="224"/>
      <c r="O33" s="224"/>
      <c r="P33" s="185"/>
      <c r="Q33" s="225"/>
      <c r="R33" s="182" t="str">
        <f ca="1">IF(ISERROR($V33),"",OFFSET('Smelter Look-up'!$C$4,$V33-4,0)&amp;"")</f>
        <v>Materion</v>
      </c>
      <c r="S33" s="181" t="str">
        <f t="shared" ca="1" si="3"/>
        <v>Unknown</v>
      </c>
      <c r="T33" s="181" t="e">
        <f ca="1">IF(B33="","",IF(ISERROR(MATCH($J33,SorP!$B$1:$B$6279,0)),"",INDIRECT("'SorP'!$A$"&amp;MATCH($S33&amp;$J33,SorP!C:C,0))))</f>
        <v>#N/A</v>
      </c>
      <c r="U33" s="201"/>
      <c r="V33" s="226">
        <f>IF(C33="",NA(),IF(OR(C33="Smelter not listed",C33="Smelter not yet identified"),MATCH($B33&amp;$D33,'Smelter Look-up'!$J:$J,0),MATCH($B33&amp;$C33,'Smelter Look-up'!$J:$J,0)))</f>
        <v>163</v>
      </c>
      <c r="X33" s="227">
        <f t="shared" si="4"/>
        <v>0</v>
      </c>
      <c r="AB33" s="228" t="str">
        <f t="shared" si="5"/>
        <v>GoldMaterion</v>
      </c>
    </row>
    <row r="34" spans="1:28" s="227" customFormat="1" ht="48.4">
      <c r="A34" s="181" t="s">
        <v>702</v>
      </c>
      <c r="B34" s="182" t="s">
        <v>1125</v>
      </c>
      <c r="C34" s="186" t="s">
        <v>57</v>
      </c>
      <c r="D34" s="230" t="s">
        <v>57</v>
      </c>
      <c r="E34" s="182" t="s">
        <v>1104</v>
      </c>
      <c r="F34" s="182" t="s">
        <v>702</v>
      </c>
      <c r="G34" s="182" t="s">
        <v>13240</v>
      </c>
      <c r="H34" s="183">
        <v>0</v>
      </c>
      <c r="I34" s="184" t="s">
        <v>1618</v>
      </c>
      <c r="J34" s="184" t="s">
        <v>1580</v>
      </c>
      <c r="K34" s="224"/>
      <c r="L34" s="224"/>
      <c r="M34" s="224"/>
      <c r="N34" s="224"/>
      <c r="O34" s="224"/>
      <c r="P34" s="185"/>
      <c r="Q34" s="225"/>
      <c r="R34" s="182" t="str">
        <f ca="1">IF(ISERROR($V34),"",OFFSET('Smelter Look-up'!$C$4,$V34-4,0)&amp;"")</f>
        <v>Matsuda Sangyo Co., Ltd.</v>
      </c>
      <c r="S34" s="181" t="str">
        <f t="shared" ca="1" si="3"/>
        <v>JP</v>
      </c>
      <c r="T34" s="181" t="str">
        <f ca="1">IF(B34="","",IF(ISERROR(MATCH($J34,SorP!$B$1:$B$6279,0)),"",INDIRECT("'SorP'!$A$"&amp;MATCH($S34&amp;$J34,SorP!C:C,0))))</f>
        <v>JP-11</v>
      </c>
      <c r="U34" s="201"/>
      <c r="V34" s="226">
        <f>IF(C34="",NA(),IF(OR(C34="Smelter not listed",C34="Smelter not yet identified"),MATCH($B34&amp;$D34,'Smelter Look-up'!$J:$J,0),MATCH($B34&amp;$C34,'Smelter Look-up'!$J:$J,0)))</f>
        <v>164</v>
      </c>
      <c r="X34" s="227">
        <f t="shared" si="4"/>
        <v>0</v>
      </c>
      <c r="AB34" s="228" t="str">
        <f t="shared" si="5"/>
        <v>GoldMatsuda Sangyo Co., Ltd.</v>
      </c>
    </row>
    <row r="35" spans="1:28" s="227" customFormat="1" ht="84.7">
      <c r="A35" s="181" t="s">
        <v>703</v>
      </c>
      <c r="B35" s="182" t="s">
        <v>1125</v>
      </c>
      <c r="C35" s="186" t="s">
        <v>2150</v>
      </c>
      <c r="D35" s="230" t="s">
        <v>2150</v>
      </c>
      <c r="E35" s="182" t="s">
        <v>1096</v>
      </c>
      <c r="F35" s="182" t="s">
        <v>703</v>
      </c>
      <c r="G35" s="182" t="s">
        <v>13240</v>
      </c>
      <c r="H35" s="183">
        <v>0</v>
      </c>
      <c r="I35" s="184" t="s">
        <v>1621</v>
      </c>
      <c r="J35" s="184" t="s">
        <v>15802</v>
      </c>
      <c r="K35" s="224"/>
      <c r="L35" s="224"/>
      <c r="M35" s="224"/>
      <c r="N35" s="224"/>
      <c r="O35" s="224"/>
      <c r="P35" s="185"/>
      <c r="Q35" s="225"/>
      <c r="R35" s="182" t="str">
        <f ca="1">IF(ISERROR($V35),"",OFFSET('Smelter Look-up'!$C$4,$V35-4,0)&amp;"")</f>
        <v>Metalor Technologies (Hong Kong) Ltd.</v>
      </c>
      <c r="S35" s="181" t="str">
        <f t="shared" ca="1" si="3"/>
        <v>CN</v>
      </c>
      <c r="T35" s="181" t="str">
        <f ca="1">IF(B35="","",IF(ISERROR(MATCH($J35,SorP!$B$1:$B$6279,0)),"",INDIRECT("'SorP'!$A$"&amp;MATCH($S35&amp;$J35,SorP!C:C,0))))</f>
        <v/>
      </c>
      <c r="U35" s="201"/>
      <c r="V35" s="226">
        <f>IF(C35="",NA(),IF(OR(C35="Smelter not listed",C35="Smelter not yet identified"),MATCH($B35&amp;$D35,'Smelter Look-up'!$J:$J,0),MATCH($B35&amp;$C35,'Smelter Look-up'!$J:$J,0)))</f>
        <v>172</v>
      </c>
      <c r="X35" s="227">
        <f t="shared" si="4"/>
        <v>0</v>
      </c>
      <c r="AB35" s="228" t="str">
        <f t="shared" si="5"/>
        <v>GoldMetalor Technologies (Hong Kong) Ltd.</v>
      </c>
    </row>
    <row r="36" spans="1:28" s="227" customFormat="1" ht="84.7">
      <c r="A36" s="181" t="s">
        <v>704</v>
      </c>
      <c r="B36" s="182" t="s">
        <v>1125</v>
      </c>
      <c r="C36" s="186" t="s">
        <v>2151</v>
      </c>
      <c r="D36" s="230" t="s">
        <v>2151</v>
      </c>
      <c r="E36" s="182" t="s">
        <v>882</v>
      </c>
      <c r="F36" s="182" t="s">
        <v>704</v>
      </c>
      <c r="G36" s="182" t="s">
        <v>13240</v>
      </c>
      <c r="H36" s="183">
        <v>0</v>
      </c>
      <c r="I36" s="184" t="s">
        <v>12723</v>
      </c>
      <c r="J36" s="184" t="s">
        <v>10295</v>
      </c>
      <c r="K36" s="224"/>
      <c r="L36" s="224"/>
      <c r="M36" s="224"/>
      <c r="N36" s="224"/>
      <c r="O36" s="224"/>
      <c r="P36" s="185"/>
      <c r="Q36" s="225"/>
      <c r="R36" s="182" t="str">
        <f ca="1">IF(ISERROR($V36),"",OFFSET('Smelter Look-up'!$C$4,$V36-4,0)&amp;"")</f>
        <v>Metalor Technologies (Singapore) Pte., Ltd.</v>
      </c>
      <c r="S36" s="181" t="str">
        <f t="shared" ca="1" si="3"/>
        <v>SG</v>
      </c>
      <c r="T36" s="181" t="str">
        <f ca="1">IF(B36="","",IF(ISERROR(MATCH($J36,SorP!$B$1:$B$6279,0)),"",INDIRECT("'SorP'!$A$"&amp;MATCH($S36&amp;$J36,SorP!C:C,0))))</f>
        <v>SG-05</v>
      </c>
      <c r="U36" s="201"/>
      <c r="V36" s="226">
        <f>IF(C36="",NA(),IF(OR(C36="Smelter not listed",C36="Smelter not yet identified"),MATCH($B36&amp;$D36,'Smelter Look-up'!$J:$J,0),MATCH($B36&amp;$C36,'Smelter Look-up'!$J:$J,0)))</f>
        <v>173</v>
      </c>
      <c r="X36" s="227">
        <f t="shared" si="4"/>
        <v>0</v>
      </c>
      <c r="AB36" s="228" t="str">
        <f t="shared" si="5"/>
        <v>GoldMetalor Technologies (Singapore) Pte., Ltd.</v>
      </c>
    </row>
    <row r="37" spans="1:28" s="227" customFormat="1" ht="48.4">
      <c r="A37" s="181" t="s">
        <v>705</v>
      </c>
      <c r="B37" s="182" t="s">
        <v>1125</v>
      </c>
      <c r="C37" s="186" t="s">
        <v>2305</v>
      </c>
      <c r="D37" s="230" t="s">
        <v>2305</v>
      </c>
      <c r="E37" s="182" t="s">
        <v>1094</v>
      </c>
      <c r="F37" s="182" t="s">
        <v>705</v>
      </c>
      <c r="G37" s="182" t="s">
        <v>13240</v>
      </c>
      <c r="H37" s="183">
        <v>0</v>
      </c>
      <c r="I37" s="184" t="s">
        <v>1622</v>
      </c>
      <c r="J37" s="184" t="s">
        <v>1623</v>
      </c>
      <c r="K37" s="224"/>
      <c r="L37" s="224"/>
      <c r="M37" s="224"/>
      <c r="N37" s="224"/>
      <c r="O37" s="224"/>
      <c r="P37" s="185"/>
      <c r="Q37" s="225"/>
      <c r="R37" s="182" t="str">
        <f ca="1">IF(ISERROR($V37),"",OFFSET('Smelter Look-up'!$C$4,$V37-4,0)&amp;"")</f>
        <v>Metalor Technologies S.A.</v>
      </c>
      <c r="S37" s="181" t="str">
        <f t="shared" ca="1" si="3"/>
        <v>CH</v>
      </c>
      <c r="T37" s="181" t="str">
        <f ca="1">IF(B37="","",IF(ISERROR(MATCH($J37,SorP!$B$1:$B$6279,0)),"",INDIRECT("'SorP'!$A$"&amp;MATCH($S37&amp;$J37,SorP!C:C,0))))</f>
        <v>CH-NE</v>
      </c>
      <c r="U37" s="201"/>
      <c r="V37" s="226">
        <f>IF(C37="",NA(),IF(OR(C37="Smelter not listed",C37="Smelter not yet identified"),MATCH($B37&amp;$D37,'Smelter Look-up'!$J:$J,0),MATCH($B37&amp;$C37,'Smelter Look-up'!$J:$J,0)))</f>
        <v>175</v>
      </c>
      <c r="X37" s="227">
        <f t="shared" si="4"/>
        <v>0</v>
      </c>
      <c r="AB37" s="228" t="str">
        <f t="shared" si="5"/>
        <v>GoldMetalor Technologies S.A.</v>
      </c>
    </row>
    <row r="38" spans="1:28" s="227" customFormat="1" ht="60.5">
      <c r="A38" s="181" t="s">
        <v>706</v>
      </c>
      <c r="B38" s="182" t="s">
        <v>1125</v>
      </c>
      <c r="C38" s="186" t="s">
        <v>1224</v>
      </c>
      <c r="D38" s="230" t="s">
        <v>1224</v>
      </c>
      <c r="E38" s="182" t="s">
        <v>15805</v>
      </c>
      <c r="F38" s="182" t="s">
        <v>706</v>
      </c>
      <c r="G38" s="182" t="s">
        <v>13240</v>
      </c>
      <c r="H38" s="183">
        <v>0</v>
      </c>
      <c r="I38" s="184" t="s">
        <v>1624</v>
      </c>
      <c r="J38" s="184" t="s">
        <v>1625</v>
      </c>
      <c r="K38" s="224"/>
      <c r="L38" s="224"/>
      <c r="M38" s="224"/>
      <c r="N38" s="224"/>
      <c r="O38" s="224"/>
      <c r="P38" s="185"/>
      <c r="Q38" s="225"/>
      <c r="R38" s="182" t="str">
        <f ca="1">IF(ISERROR($V38),"",OFFSET('Smelter Look-up'!$C$4,$V38-4,0)&amp;"")</f>
        <v>Metalor USA Refining Corporation</v>
      </c>
      <c r="S38" s="181" t="str">
        <f t="shared" ref="S38:S68" ca="1" si="6">IF(B38="","",IF(ISERROR(MATCH($E38,CL,0)),"Unknown",INDIRECT("'C'!$A$"&amp;MATCH($E38,CL,0)+1)))</f>
        <v>Unknown</v>
      </c>
      <c r="T38" s="181" t="e">
        <f ca="1">IF(B38="","",IF(ISERROR(MATCH($J38,SorP!$B$1:$B$6279,0)),"",INDIRECT("'SorP'!$A$"&amp;MATCH($S38&amp;$J38,SorP!C:C,0))))</f>
        <v>#N/A</v>
      </c>
      <c r="U38" s="201"/>
      <c r="V38" s="226">
        <f>IF(C38="",NA(),IF(OR(C38="Smelter not listed",C38="Smelter not yet identified"),MATCH($B38&amp;$D38,'Smelter Look-up'!$J:$J,0),MATCH($B38&amp;$C38,'Smelter Look-up'!$J:$J,0)))</f>
        <v>176</v>
      </c>
      <c r="X38" s="227">
        <f t="shared" ref="X38:X68" si="7">IF(AND(C38="Smelter not listed",OR(LEN(D38)=0,LEN(E38)=0)),1,0)</f>
        <v>0</v>
      </c>
      <c r="AB38" s="228" t="str">
        <f t="shared" ref="AB38:AB68" si="8">B38&amp;C38</f>
        <v>GoldMetalor USA Refining Corporation</v>
      </c>
    </row>
    <row r="39" spans="1:28" s="227" customFormat="1" ht="72.599999999999994">
      <c r="A39" s="181" t="s">
        <v>707</v>
      </c>
      <c r="B39" s="182" t="s">
        <v>1125</v>
      </c>
      <c r="C39" s="186" t="s">
        <v>12429</v>
      </c>
      <c r="D39" s="230" t="s">
        <v>12429</v>
      </c>
      <c r="E39" s="182" t="s">
        <v>1109</v>
      </c>
      <c r="F39" s="182" t="s">
        <v>707</v>
      </c>
      <c r="G39" s="182" t="s">
        <v>13240</v>
      </c>
      <c r="H39" s="183">
        <v>0</v>
      </c>
      <c r="I39" s="184" t="s">
        <v>1626</v>
      </c>
      <c r="J39" s="184" t="s">
        <v>12885</v>
      </c>
      <c r="K39" s="224"/>
      <c r="L39" s="224"/>
      <c r="M39" s="224"/>
      <c r="N39" s="224"/>
      <c r="O39" s="224"/>
      <c r="P39" s="185"/>
      <c r="Q39" s="225"/>
      <c r="R39" s="182" t="str">
        <f ca="1">IF(ISERROR($V39),"",OFFSET('Smelter Look-up'!$C$4,$V39-4,0)&amp;"")</f>
        <v>Metalurgica Met-Mex Penoles S.A. De C.V.</v>
      </c>
      <c r="S39" s="181" t="str">
        <f t="shared" ca="1" si="6"/>
        <v>MX</v>
      </c>
      <c r="T39" s="181" t="str">
        <f ca="1">IF(B39="","",IF(ISERROR(MATCH($J39,SorP!$B$1:$B$6279,0)),"",INDIRECT("'SorP'!$A$"&amp;MATCH($S39&amp;$J39,SorP!C:C,0))))</f>
        <v>MX-COA</v>
      </c>
      <c r="U39" s="201"/>
      <c r="V39" s="226">
        <f>IF(C39="",NA(),IF(OR(C39="Smelter not listed",C39="Smelter not yet identified"),MATCH($B39&amp;$D39,'Smelter Look-up'!$J:$J,0),MATCH($B39&amp;$C39,'Smelter Look-up'!$J:$J,0)))</f>
        <v>177</v>
      </c>
      <c r="X39" s="227">
        <f t="shared" si="7"/>
        <v>0</v>
      </c>
      <c r="AB39" s="228" t="str">
        <f t="shared" si="8"/>
        <v>GoldMetalurgica Met-Mex Penoles S.A. De C.V.</v>
      </c>
    </row>
    <row r="40" spans="1:28" s="227" customFormat="1" ht="60.5">
      <c r="A40" s="181" t="s">
        <v>708</v>
      </c>
      <c r="B40" s="182" t="s">
        <v>1125</v>
      </c>
      <c r="C40" s="186" t="s">
        <v>1159</v>
      </c>
      <c r="D40" s="230" t="s">
        <v>1159</v>
      </c>
      <c r="E40" s="182" t="s">
        <v>1104</v>
      </c>
      <c r="F40" s="182" t="s">
        <v>708</v>
      </c>
      <c r="G40" s="182" t="s">
        <v>13240</v>
      </c>
      <c r="H40" s="183">
        <v>0</v>
      </c>
      <c r="I40" s="184" t="s">
        <v>15806</v>
      </c>
      <c r="J40" s="184" t="s">
        <v>2211</v>
      </c>
      <c r="K40" s="224"/>
      <c r="L40" s="224"/>
      <c r="M40" s="224"/>
      <c r="N40" s="224"/>
      <c r="O40" s="224"/>
      <c r="P40" s="185"/>
      <c r="Q40" s="225"/>
      <c r="R40" s="182" t="str">
        <f ca="1">IF(ISERROR($V40),"",OFFSET('Smelter Look-up'!$C$4,$V40-4,0)&amp;"")</f>
        <v>Mitsubishi Materials Corporation</v>
      </c>
      <c r="S40" s="181" t="str">
        <f t="shared" ca="1" si="6"/>
        <v>JP</v>
      </c>
      <c r="T40" s="181" t="str">
        <f ca="1">IF(B40="","",IF(ISERROR(MATCH($J40,SorP!$B$1:$B$6279,0)),"",INDIRECT("'SorP'!$A$"&amp;MATCH($S40&amp;$J40,SorP!C:C,0))))</f>
        <v>JP-37</v>
      </c>
      <c r="U40" s="201"/>
      <c r="V40" s="226">
        <f>IF(C40="",NA(),IF(OR(C40="Smelter not listed",C40="Smelter not yet identified"),MATCH($B40&amp;$D40,'Smelter Look-up'!$J:$J,0),MATCH($B40&amp;$C40,'Smelter Look-up'!$J:$J,0)))</f>
        <v>181</v>
      </c>
      <c r="X40" s="227">
        <f t="shared" si="7"/>
        <v>0</v>
      </c>
      <c r="AB40" s="228" t="str">
        <f t="shared" si="8"/>
        <v>GoldMitsubishi Materials Corporation</v>
      </c>
    </row>
    <row r="41" spans="1:28" s="227" customFormat="1" ht="60.5">
      <c r="A41" s="181" t="s">
        <v>709</v>
      </c>
      <c r="B41" s="182" t="s">
        <v>1125</v>
      </c>
      <c r="C41" s="186" t="s">
        <v>1225</v>
      </c>
      <c r="D41" s="230" t="s">
        <v>1225</v>
      </c>
      <c r="E41" s="182" t="s">
        <v>1104</v>
      </c>
      <c r="F41" s="182" t="s">
        <v>709</v>
      </c>
      <c r="G41" s="182" t="s">
        <v>13240</v>
      </c>
      <c r="H41" s="183">
        <v>0</v>
      </c>
      <c r="I41" s="184" t="s">
        <v>1628</v>
      </c>
      <c r="J41" s="184" t="s">
        <v>1627</v>
      </c>
      <c r="K41" s="224"/>
      <c r="L41" s="224"/>
      <c r="M41" s="224"/>
      <c r="N41" s="224"/>
      <c r="O41" s="224"/>
      <c r="P41" s="185"/>
      <c r="Q41" s="225"/>
      <c r="R41" s="182" t="str">
        <f ca="1">IF(ISERROR($V41),"",OFFSET('Smelter Look-up'!$C$4,$V41-4,0)&amp;"")</f>
        <v>Mitsui Mining and Smelting Co., Ltd.</v>
      </c>
      <c r="S41" s="181" t="str">
        <f t="shared" ca="1" si="6"/>
        <v>JP</v>
      </c>
      <c r="T41" s="181" t="str">
        <f ca="1">IF(B41="","",IF(ISERROR(MATCH($J41,SorP!$B$1:$B$6279,0)),"",INDIRECT("'SorP'!$A$"&amp;MATCH($S41&amp;$J41,SorP!C:C,0))))</f>
        <v>JP-34</v>
      </c>
      <c r="U41" s="201"/>
      <c r="V41" s="226">
        <f>IF(C41="",NA(),IF(OR(C41="Smelter not listed",C41="Smelter not yet identified"),MATCH($B41&amp;$D41,'Smelter Look-up'!$J:$J,0),MATCH($B41&amp;$C41,'Smelter Look-up'!$J:$J,0)))</f>
        <v>183</v>
      </c>
      <c r="X41" s="227">
        <f t="shared" si="7"/>
        <v>0</v>
      </c>
      <c r="AB41" s="228" t="str">
        <f t="shared" si="8"/>
        <v>GoldMitsui Mining and Smelting Co., Ltd.</v>
      </c>
    </row>
    <row r="42" spans="1:28" s="227" customFormat="1" ht="48.4">
      <c r="A42" s="181" t="s">
        <v>713</v>
      </c>
      <c r="B42" s="182" t="s">
        <v>1125</v>
      </c>
      <c r="C42" s="186" t="s">
        <v>2154</v>
      </c>
      <c r="D42" s="230" t="s">
        <v>2154</v>
      </c>
      <c r="E42" s="182" t="s">
        <v>1104</v>
      </c>
      <c r="F42" s="182" t="s">
        <v>713</v>
      </c>
      <c r="G42" s="182" t="s">
        <v>13240</v>
      </c>
      <c r="H42" s="183">
        <v>0</v>
      </c>
      <c r="I42" s="184" t="s">
        <v>1633</v>
      </c>
      <c r="J42" s="184" t="s">
        <v>1634</v>
      </c>
      <c r="K42" s="224"/>
      <c r="L42" s="224"/>
      <c r="M42" s="224"/>
      <c r="N42" s="224"/>
      <c r="O42" s="224"/>
      <c r="P42" s="185"/>
      <c r="Q42" s="225"/>
      <c r="R42" s="182" t="str">
        <f ca="1">IF(ISERROR($V42),"",OFFSET('Smelter Look-up'!$C$4,$V42-4,0)&amp;"")</f>
        <v>Nihon Material Co., Ltd.</v>
      </c>
      <c r="S42" s="181" t="str">
        <f t="shared" ca="1" si="6"/>
        <v>JP</v>
      </c>
      <c r="T42" s="181" t="str">
        <f ca="1">IF(B42="","",IF(ISERROR(MATCH($J42,SorP!$B$1:$B$6279,0)),"",INDIRECT("'SorP'!$A$"&amp;MATCH($S42&amp;$J42,SorP!C:C,0))))</f>
        <v>JP-12</v>
      </c>
      <c r="U42" s="201"/>
      <c r="V42" s="226">
        <f>IF(C42="",NA(),IF(OR(C42="Smelter not listed",C42="Smelter not yet identified"),MATCH($B42&amp;$D42,'Smelter Look-up'!$J:$J,0),MATCH($B42&amp;$C42,'Smelter Look-up'!$J:$J,0)))</f>
        <v>193</v>
      </c>
      <c r="X42" s="227">
        <f t="shared" si="7"/>
        <v>0</v>
      </c>
      <c r="AB42" s="228" t="str">
        <f t="shared" si="8"/>
        <v>GoldNihon Material Co., Ltd.</v>
      </c>
    </row>
    <row r="43" spans="1:28" s="227" customFormat="1" ht="72.599999999999994">
      <c r="A43" s="181" t="s">
        <v>714</v>
      </c>
      <c r="B43" s="182" t="s">
        <v>1125</v>
      </c>
      <c r="C43" s="186" t="s">
        <v>2155</v>
      </c>
      <c r="D43" s="230" t="s">
        <v>2155</v>
      </c>
      <c r="E43" s="182" t="s">
        <v>1104</v>
      </c>
      <c r="F43" s="182" t="s">
        <v>714</v>
      </c>
      <c r="G43" s="182" t="s">
        <v>13240</v>
      </c>
      <c r="H43" s="183">
        <v>0</v>
      </c>
      <c r="I43" s="184" t="s">
        <v>1636</v>
      </c>
      <c r="J43" s="184" t="s">
        <v>1637</v>
      </c>
      <c r="K43" s="224"/>
      <c r="L43" s="224"/>
      <c r="M43" s="224"/>
      <c r="N43" s="224"/>
      <c r="O43" s="224"/>
      <c r="P43" s="185"/>
      <c r="Q43" s="225"/>
      <c r="R43" s="182" t="str">
        <f ca="1">IF(ISERROR($V43),"",OFFSET('Smelter Look-up'!$C$4,$V43-4,0)&amp;"")</f>
        <v>Ohura Precious Metal Industry Co., Ltd.</v>
      </c>
      <c r="S43" s="181" t="str">
        <f t="shared" ca="1" si="6"/>
        <v>JP</v>
      </c>
      <c r="T43" s="181" t="str">
        <f ca="1">IF(B43="","",IF(ISERROR(MATCH($J43,SorP!$B$1:$B$6279,0)),"",INDIRECT("'SorP'!$A$"&amp;MATCH($S43&amp;$J43,SorP!C:C,0))))</f>
        <v>JP-29</v>
      </c>
      <c r="U43" s="201"/>
      <c r="V43" s="226">
        <f>IF(C43="",NA(),IF(OR(C43="Smelter not listed",C43="Smelter not yet identified"),MATCH($B43&amp;$D43,'Smelter Look-up'!$J:$J,0),MATCH($B43&amp;$C43,'Smelter Look-up'!$J:$J,0)))</f>
        <v>198</v>
      </c>
      <c r="X43" s="227">
        <f t="shared" si="7"/>
        <v>0</v>
      </c>
      <c r="AB43" s="228" t="str">
        <f t="shared" si="8"/>
        <v>GoldOhura Precious Metal Industry Co., Ltd.</v>
      </c>
    </row>
    <row r="44" spans="1:28" s="227" customFormat="1" ht="24.2">
      <c r="A44" s="181" t="s">
        <v>716</v>
      </c>
      <c r="B44" s="182" t="s">
        <v>1125</v>
      </c>
      <c r="C44" s="186" t="s">
        <v>2313</v>
      </c>
      <c r="D44" s="230" t="s">
        <v>2313</v>
      </c>
      <c r="E44" s="182" t="s">
        <v>1094</v>
      </c>
      <c r="F44" s="182" t="s">
        <v>716</v>
      </c>
      <c r="G44" s="182" t="s">
        <v>13240</v>
      </c>
      <c r="H44" s="183">
        <v>0</v>
      </c>
      <c r="I44" s="184" t="s">
        <v>15807</v>
      </c>
      <c r="J44" s="184" t="s">
        <v>1549</v>
      </c>
      <c r="K44" s="224"/>
      <c r="L44" s="224"/>
      <c r="M44" s="224"/>
      <c r="N44" s="224"/>
      <c r="O44" s="224"/>
      <c r="P44" s="185"/>
      <c r="Q44" s="225"/>
      <c r="R44" s="182" t="str">
        <f ca="1">IF(ISERROR($V44),"",OFFSET('Smelter Look-up'!$C$4,$V44-4,0)&amp;"")</f>
        <v>MKS PAMP SA</v>
      </c>
      <c r="S44" s="181" t="str">
        <f t="shared" ca="1" si="6"/>
        <v>CH</v>
      </c>
      <c r="T44" s="181" t="str">
        <f ca="1">IF(B44="","",IF(ISERROR(MATCH($J44,SorP!$B$1:$B$6279,0)),"",INDIRECT("'SorP'!$A$"&amp;MATCH($S44&amp;$J44,SorP!C:C,0))))</f>
        <v>CH-TI</v>
      </c>
      <c r="U44" s="201"/>
      <c r="V44" s="226">
        <f>IF(C44="",NA(),IF(OR(C44="Smelter not listed",C44="Smelter not yet identified"),MATCH($B44&amp;$D44,'Smelter Look-up'!$J:$J,0),MATCH($B44&amp;$C44,'Smelter Look-up'!$J:$J,0)))</f>
        <v>202</v>
      </c>
      <c r="X44" s="227">
        <f t="shared" si="7"/>
        <v>0</v>
      </c>
      <c r="AB44" s="228" t="str">
        <f t="shared" si="8"/>
        <v>GoldPAMP S.A.</v>
      </c>
    </row>
    <row r="45" spans="1:28" s="227" customFormat="1" ht="60.5">
      <c r="A45" s="181" t="s">
        <v>719</v>
      </c>
      <c r="B45" s="182" t="s">
        <v>1125</v>
      </c>
      <c r="C45" s="186" t="s">
        <v>1227</v>
      </c>
      <c r="D45" s="230" t="s">
        <v>1227</v>
      </c>
      <c r="E45" s="182" t="s">
        <v>1101</v>
      </c>
      <c r="F45" s="182" t="s">
        <v>719</v>
      </c>
      <c r="G45" s="182" t="s">
        <v>13240</v>
      </c>
      <c r="H45" s="183">
        <v>0</v>
      </c>
      <c r="I45" s="184" t="s">
        <v>1641</v>
      </c>
      <c r="J45" s="184" t="s">
        <v>6003</v>
      </c>
      <c r="K45" s="224"/>
      <c r="L45" s="224"/>
      <c r="M45" s="224"/>
      <c r="N45" s="224"/>
      <c r="O45" s="224"/>
      <c r="P45" s="185"/>
      <c r="Q45" s="225"/>
      <c r="R45" s="182" t="str">
        <f ca="1">IF(ISERROR($V45),"",OFFSET('Smelter Look-up'!$C$4,$V45-4,0)&amp;"")</f>
        <v>PT Aneka Tambang (Persero) Tbk</v>
      </c>
      <c r="S45" s="181" t="str">
        <f t="shared" ca="1" si="6"/>
        <v>ID</v>
      </c>
      <c r="T45" s="181" t="str">
        <f ca="1">IF(B45="","",IF(ISERROR(MATCH($J45,SorP!$B$1:$B$6279,0)),"",INDIRECT("'SorP'!$A$"&amp;MATCH($S45&amp;$J45,SorP!C:C,0))))</f>
        <v>ID-JK</v>
      </c>
      <c r="U45" s="201"/>
      <c r="V45" s="226">
        <f>IF(C45="",NA(),IF(OR(C45="Smelter not listed",C45="Smelter not yet identified"),MATCH($B45&amp;$D45,'Smelter Look-up'!$J:$J,0),MATCH($B45&amp;$C45,'Smelter Look-up'!$J:$J,0)))</f>
        <v>211</v>
      </c>
      <c r="X45" s="227">
        <f t="shared" si="7"/>
        <v>0</v>
      </c>
      <c r="AB45" s="228" t="str">
        <f t="shared" si="8"/>
        <v>GoldPT Aneka Tambang (Persero) Tbk</v>
      </c>
    </row>
    <row r="46" spans="1:28" s="227" customFormat="1" ht="36.299999999999997">
      <c r="A46" s="181" t="s">
        <v>720</v>
      </c>
      <c r="B46" s="182" t="s">
        <v>1125</v>
      </c>
      <c r="C46" s="186" t="s">
        <v>2314</v>
      </c>
      <c r="D46" s="230" t="s">
        <v>12432</v>
      </c>
      <c r="E46" s="182" t="s">
        <v>1094</v>
      </c>
      <c r="F46" s="182" t="s">
        <v>720</v>
      </c>
      <c r="G46" s="182" t="s">
        <v>13240</v>
      </c>
      <c r="H46" s="183">
        <v>0</v>
      </c>
      <c r="I46" s="184" t="s">
        <v>1642</v>
      </c>
      <c r="J46" s="184" t="s">
        <v>1623</v>
      </c>
      <c r="K46" s="224"/>
      <c r="L46" s="224"/>
      <c r="M46" s="224"/>
      <c r="N46" s="224"/>
      <c r="O46" s="224"/>
      <c r="P46" s="185"/>
      <c r="Q46" s="225"/>
      <c r="R46" s="182" t="str">
        <f ca="1">IF(ISERROR($V46),"",OFFSET('Smelter Look-up'!$C$4,$V46-4,0)&amp;"")</f>
        <v>PX Precinox S.A.</v>
      </c>
      <c r="S46" s="181" t="str">
        <f t="shared" ca="1" si="6"/>
        <v>CH</v>
      </c>
      <c r="T46" s="181" t="str">
        <f ca="1">IF(B46="","",IF(ISERROR(MATCH($J46,SorP!$B$1:$B$6279,0)),"",INDIRECT("'SorP'!$A$"&amp;MATCH($S46&amp;$J46,SorP!C:C,0))))</f>
        <v>CH-NE</v>
      </c>
      <c r="U46" s="201"/>
      <c r="V46" s="226">
        <f>IF(C46="",NA(),IF(OR(C46="Smelter not listed",C46="Smelter not yet identified"),MATCH($B46&amp;$D46,'Smelter Look-up'!$J:$J,0),MATCH($B46&amp;$C46,'Smelter Look-up'!$J:$J,0)))</f>
        <v>213</v>
      </c>
      <c r="X46" s="227">
        <f t="shared" si="7"/>
        <v>0</v>
      </c>
      <c r="AB46" s="228" t="str">
        <f t="shared" si="8"/>
        <v>GoldPX Précinox S.A.</v>
      </c>
    </row>
    <row r="47" spans="1:28" s="227" customFormat="1" ht="60.5">
      <c r="A47" s="181" t="s">
        <v>721</v>
      </c>
      <c r="B47" s="182" t="s">
        <v>1125</v>
      </c>
      <c r="C47" s="186" t="s">
        <v>2158</v>
      </c>
      <c r="D47" s="230" t="s">
        <v>2158</v>
      </c>
      <c r="E47" s="182" t="s">
        <v>889</v>
      </c>
      <c r="F47" s="182" t="s">
        <v>721</v>
      </c>
      <c r="G47" s="182" t="s">
        <v>13240</v>
      </c>
      <c r="H47" s="183">
        <v>0</v>
      </c>
      <c r="I47" s="184" t="s">
        <v>1643</v>
      </c>
      <c r="J47" s="184" t="s">
        <v>1644</v>
      </c>
      <c r="K47" s="224"/>
      <c r="L47" s="224"/>
      <c r="M47" s="224"/>
      <c r="N47" s="224"/>
      <c r="O47" s="224"/>
      <c r="P47" s="185"/>
      <c r="Q47" s="225"/>
      <c r="R47" s="182" t="str">
        <f ca="1">IF(ISERROR($V47),"",OFFSET('Smelter Look-up'!$C$4,$V47-4,0)&amp;"")</f>
        <v>Rand Refinery (Pty) Ltd.</v>
      </c>
      <c r="S47" s="181" t="str">
        <f t="shared" ca="1" si="6"/>
        <v>ZA</v>
      </c>
      <c r="T47" s="181" t="str">
        <f ca="1">IF(B47="","",IF(ISERROR(MATCH($J47,SorP!$B$1:$B$6279,0)),"",INDIRECT("'SorP'!$A$"&amp;MATCH($S47&amp;$J47,SorP!C:C,0))))</f>
        <v>ZA-GP</v>
      </c>
      <c r="U47" s="201"/>
      <c r="V47" s="226">
        <f>IF(C47="",NA(),IF(OR(C47="Smelter not listed",C47="Smelter not yet identified"),MATCH($B47&amp;$D47,'Smelter Look-up'!$J:$J,0),MATCH($B47&amp;$C47,'Smelter Look-up'!$J:$J,0)))</f>
        <v>215</v>
      </c>
      <c r="X47" s="227">
        <f t="shared" si="7"/>
        <v>0</v>
      </c>
      <c r="AB47" s="228" t="str">
        <f t="shared" si="8"/>
        <v>GoldRand Refinery (Pty) Ltd.</v>
      </c>
    </row>
    <row r="48" spans="1:28" s="227" customFormat="1" ht="48.4">
      <c r="A48" s="181" t="s">
        <v>722</v>
      </c>
      <c r="B48" s="182" t="s">
        <v>1125</v>
      </c>
      <c r="C48" s="186" t="s">
        <v>909</v>
      </c>
      <c r="D48" s="230" t="s">
        <v>909</v>
      </c>
      <c r="E48" s="182" t="s">
        <v>1093</v>
      </c>
      <c r="F48" s="182" t="s">
        <v>722</v>
      </c>
      <c r="G48" s="182" t="s">
        <v>13240</v>
      </c>
      <c r="H48" s="183">
        <v>0</v>
      </c>
      <c r="I48" s="184" t="s">
        <v>1645</v>
      </c>
      <c r="J48" s="184" t="s">
        <v>1603</v>
      </c>
      <c r="K48" s="224"/>
      <c r="L48" s="224"/>
      <c r="M48" s="224"/>
      <c r="N48" s="224"/>
      <c r="O48" s="224"/>
      <c r="P48" s="185"/>
      <c r="Q48" s="225"/>
      <c r="R48" s="182" t="str">
        <f ca="1">IF(ISERROR($V48),"",OFFSET('Smelter Look-up'!$C$4,$V48-4,0)&amp;"")</f>
        <v>Royal Canadian Mint</v>
      </c>
      <c r="S48" s="181" t="str">
        <f t="shared" ca="1" si="6"/>
        <v>CA</v>
      </c>
      <c r="T48" s="181" t="str">
        <f ca="1">IF(B48="","",IF(ISERROR(MATCH($J48,SorP!$B$1:$B$6279,0)),"",INDIRECT("'SorP'!$A$"&amp;MATCH($S48&amp;$J48,SorP!C:C,0))))</f>
        <v>CA-ON</v>
      </c>
      <c r="U48" s="201"/>
      <c r="V48" s="226">
        <f>IF(C48="",NA(),IF(OR(C48="Smelter not listed",C48="Smelter not yet identified"),MATCH($B48&amp;$D48,'Smelter Look-up'!$J:$J,0),MATCH($B48&amp;$C48,'Smelter Look-up'!$J:$J,0)))</f>
        <v>220</v>
      </c>
      <c r="X48" s="227">
        <f t="shared" si="7"/>
        <v>0</v>
      </c>
      <c r="AB48" s="228" t="str">
        <f t="shared" si="8"/>
        <v>GoldRoyal Canadian Mint</v>
      </c>
    </row>
    <row r="49" spans="1:28" s="227" customFormat="1" ht="60.5">
      <c r="A49" s="181" t="s">
        <v>725</v>
      </c>
      <c r="B49" s="182" t="s">
        <v>1125</v>
      </c>
      <c r="C49" s="186" t="s">
        <v>12433</v>
      </c>
      <c r="D49" s="230" t="s">
        <v>12433</v>
      </c>
      <c r="E49" s="182" t="s">
        <v>1098</v>
      </c>
      <c r="F49" s="182" t="s">
        <v>725</v>
      </c>
      <c r="G49" s="182" t="s">
        <v>13240</v>
      </c>
      <c r="H49" s="183">
        <v>0</v>
      </c>
      <c r="I49" s="184" t="s">
        <v>1651</v>
      </c>
      <c r="J49" s="184" t="s">
        <v>4670</v>
      </c>
      <c r="K49" s="224"/>
      <c r="L49" s="224"/>
      <c r="M49" s="224"/>
      <c r="N49" s="224"/>
      <c r="O49" s="224"/>
      <c r="P49" s="185"/>
      <c r="Q49" s="225"/>
      <c r="R49" s="182" t="str">
        <f ca="1">IF(ISERROR($V49),"",OFFSET('Smelter Look-up'!$C$4,$V49-4,0)&amp;"")</f>
        <v>SEMPSA Joyeria Plateria S.A.</v>
      </c>
      <c r="S49" s="181" t="str">
        <f t="shared" ca="1" si="6"/>
        <v>ES</v>
      </c>
      <c r="T49" s="181" t="str">
        <f ca="1">IF(B49="","",IF(ISERROR(MATCH($J49,SorP!$B$1:$B$6279,0)),"",INDIRECT("'SorP'!$A$"&amp;MATCH($S49&amp;$J49,SorP!C:C,0))))</f>
        <v>ES-MD</v>
      </c>
      <c r="U49" s="201"/>
      <c r="V49" s="226">
        <f>IF(C49="",NA(),IF(OR(C49="Smelter not listed",C49="Smelter not yet identified"),MATCH($B49&amp;$D49,'Smelter Look-up'!$J:$J,0),MATCH($B49&amp;$C49,'Smelter Look-up'!$J:$J,0)))</f>
        <v>234</v>
      </c>
      <c r="X49" s="227">
        <f t="shared" si="7"/>
        <v>0</v>
      </c>
      <c r="AB49" s="228" t="str">
        <f t="shared" si="8"/>
        <v>GoldSEMPSA Joyeria Plateria S.A.</v>
      </c>
    </row>
    <row r="50" spans="1:28" s="227" customFormat="1" ht="84.7">
      <c r="A50" s="181" t="s">
        <v>726</v>
      </c>
      <c r="B50" s="182" t="s">
        <v>1125</v>
      </c>
      <c r="C50" s="186" t="s">
        <v>2160</v>
      </c>
      <c r="D50" s="230" t="s">
        <v>2160</v>
      </c>
      <c r="E50" s="182" t="s">
        <v>1096</v>
      </c>
      <c r="F50" s="182" t="s">
        <v>726</v>
      </c>
      <c r="G50" s="182" t="s">
        <v>13240</v>
      </c>
      <c r="H50" s="183">
        <v>0</v>
      </c>
      <c r="I50" s="184" t="s">
        <v>1585</v>
      </c>
      <c r="J50" s="184" t="s">
        <v>15808</v>
      </c>
      <c r="K50" s="224"/>
      <c r="L50" s="224"/>
      <c r="M50" s="224"/>
      <c r="N50" s="224"/>
      <c r="O50" s="224"/>
      <c r="P50" s="185"/>
      <c r="Q50" s="225"/>
      <c r="R50" s="182" t="str">
        <f ca="1">IF(ISERROR($V50),"",OFFSET('Smelter Look-up'!$C$4,$V50-4,0)&amp;"")</f>
        <v>Shandong Zhaojin Gold &amp; Silver Refinery Co., Ltd.</v>
      </c>
      <c r="S50" s="181" t="str">
        <f t="shared" ca="1" si="6"/>
        <v>CN</v>
      </c>
      <c r="T50" s="181" t="str">
        <f ca="1">IF(B50="","",IF(ISERROR(MATCH($J50,SorP!$B$1:$B$6279,0)),"",INDIRECT("'SorP'!$A$"&amp;MATCH($S50&amp;$J50,SorP!C:C,0))))</f>
        <v/>
      </c>
      <c r="U50" s="201"/>
      <c r="V50" s="226">
        <f>IF(C50="",NA(),IF(OR(C50="Smelter not listed",C50="Smelter not yet identified"),MATCH($B50&amp;$D50,'Smelter Look-up'!$J:$J,0),MATCH($B50&amp;$C50,'Smelter Look-up'!$J:$J,0)))</f>
        <v>246</v>
      </c>
      <c r="X50" s="227">
        <f t="shared" si="7"/>
        <v>0</v>
      </c>
      <c r="AB50" s="228" t="str">
        <f t="shared" si="8"/>
        <v>GoldShandong Zhaojin Gold &amp; Silver Refinery Co., Ltd.</v>
      </c>
    </row>
    <row r="51" spans="1:28" s="227" customFormat="1" ht="60.5">
      <c r="A51" s="181" t="s">
        <v>728</v>
      </c>
      <c r="B51" s="182" t="s">
        <v>1125</v>
      </c>
      <c r="C51" s="186" t="s">
        <v>911</v>
      </c>
      <c r="D51" s="230" t="s">
        <v>911</v>
      </c>
      <c r="E51" s="182" t="s">
        <v>15809</v>
      </c>
      <c r="F51" s="182" t="s">
        <v>728</v>
      </c>
      <c r="G51" s="182" t="s">
        <v>13240</v>
      </c>
      <c r="H51" s="183">
        <v>0</v>
      </c>
      <c r="I51" s="184" t="s">
        <v>1661</v>
      </c>
      <c r="J51" s="184" t="s">
        <v>11511</v>
      </c>
      <c r="K51" s="224"/>
      <c r="L51" s="224"/>
      <c r="M51" s="224"/>
      <c r="N51" s="224"/>
      <c r="O51" s="224"/>
      <c r="P51" s="185"/>
      <c r="Q51" s="225"/>
      <c r="R51" s="182" t="str">
        <f ca="1">IF(ISERROR($V51),"",OFFSET('Smelter Look-up'!$C$4,$V51-4,0)&amp;"")</f>
        <v>Solar Applied Materials Technology Corp.</v>
      </c>
      <c r="S51" s="181" t="str">
        <f t="shared" ca="1" si="6"/>
        <v>Unknown</v>
      </c>
      <c r="T51" s="181" t="e">
        <f ca="1">IF(B51="","",IF(ISERROR(MATCH($J51,SorP!$B$1:$B$6279,0)),"",INDIRECT("'SorP'!$A$"&amp;MATCH($S51&amp;$J51,SorP!C:C,0))))</f>
        <v>#N/A</v>
      </c>
      <c r="U51" s="201"/>
      <c r="V51" s="226">
        <f>IF(C51="",NA(),IF(OR(C51="Smelter not listed",C51="Smelter not yet identified"),MATCH($B51&amp;$D51,'Smelter Look-up'!$J:$J,0),MATCH($B51&amp;$C51,'Smelter Look-up'!$J:$J,0)))</f>
        <v>258</v>
      </c>
      <c r="X51" s="227">
        <f t="shared" si="7"/>
        <v>0</v>
      </c>
      <c r="AB51" s="228" t="str">
        <f t="shared" si="8"/>
        <v>GoldSolar Applied Materials Technology Corp.</v>
      </c>
    </row>
    <row r="52" spans="1:28" s="227" customFormat="1" ht="60.5">
      <c r="A52" s="181" t="s">
        <v>729</v>
      </c>
      <c r="B52" s="182" t="s">
        <v>1125</v>
      </c>
      <c r="C52" s="186" t="s">
        <v>58</v>
      </c>
      <c r="D52" s="230" t="s">
        <v>58</v>
      </c>
      <c r="E52" s="182" t="s">
        <v>1104</v>
      </c>
      <c r="F52" s="182" t="s">
        <v>729</v>
      </c>
      <c r="G52" s="182" t="s">
        <v>13240</v>
      </c>
      <c r="H52" s="183">
        <v>0</v>
      </c>
      <c r="I52" s="184" t="s">
        <v>1662</v>
      </c>
      <c r="J52" s="184" t="s">
        <v>2212</v>
      </c>
      <c r="K52" s="224"/>
      <c r="L52" s="224"/>
      <c r="M52" s="224"/>
      <c r="N52" s="224"/>
      <c r="O52" s="224"/>
      <c r="P52" s="185"/>
      <c r="Q52" s="225"/>
      <c r="R52" s="182" t="str">
        <f ca="1">IF(ISERROR($V52),"",OFFSET('Smelter Look-up'!$C$4,$V52-4,0)&amp;"")</f>
        <v>Sumitomo Metal Mining Co., Ltd.</v>
      </c>
      <c r="S52" s="181" t="str">
        <f t="shared" ca="1" si="6"/>
        <v>JP</v>
      </c>
      <c r="T52" s="181" t="str">
        <f ca="1">IF(B52="","",IF(ISERROR(MATCH($J52,SorP!$B$1:$B$6279,0)),"",INDIRECT("'SorP'!$A$"&amp;MATCH($S52&amp;$J52,SorP!C:C,0))))</f>
        <v>JP-38</v>
      </c>
      <c r="U52" s="201"/>
      <c r="V52" s="226">
        <f>IF(C52="",NA(),IF(OR(C52="Smelter not listed",C52="Smelter not yet identified"),MATCH($B52&amp;$D52,'Smelter Look-up'!$J:$J,0),MATCH($B52&amp;$C52,'Smelter Look-up'!$J:$J,0)))</f>
        <v>265</v>
      </c>
      <c r="X52" s="227">
        <f t="shared" si="7"/>
        <v>0</v>
      </c>
      <c r="AB52" s="228" t="str">
        <f t="shared" si="8"/>
        <v>GoldSumitomo Metal Mining Co., Ltd.</v>
      </c>
    </row>
    <row r="53" spans="1:28" s="227" customFormat="1" ht="60.5">
      <c r="A53" s="181" t="s">
        <v>730</v>
      </c>
      <c r="B53" s="182" t="s">
        <v>1125</v>
      </c>
      <c r="C53" s="186" t="s">
        <v>1228</v>
      </c>
      <c r="D53" s="230" t="s">
        <v>1228</v>
      </c>
      <c r="E53" s="182" t="s">
        <v>1104</v>
      </c>
      <c r="F53" s="182" t="s">
        <v>730</v>
      </c>
      <c r="G53" s="182" t="s">
        <v>13240</v>
      </c>
      <c r="H53" s="183">
        <v>0</v>
      </c>
      <c r="I53" s="184" t="s">
        <v>1663</v>
      </c>
      <c r="J53" s="184" t="s">
        <v>1664</v>
      </c>
      <c r="K53" s="224"/>
      <c r="L53" s="224"/>
      <c r="M53" s="224"/>
      <c r="N53" s="224"/>
      <c r="O53" s="224"/>
      <c r="P53" s="185"/>
      <c r="Q53" s="225"/>
      <c r="R53" s="182" t="str">
        <f ca="1">IF(ISERROR($V53),"",OFFSET('Smelter Look-up'!$C$4,$V53-4,0)&amp;"")</f>
        <v>Tanaka Kikinzoku Kogyo K.K.</v>
      </c>
      <c r="S53" s="181" t="str">
        <f t="shared" ca="1" si="6"/>
        <v>JP</v>
      </c>
      <c r="T53" s="181" t="str">
        <f ca="1">IF(B53="","",IF(ISERROR(MATCH($J53,SorP!$B$1:$B$6279,0)),"",INDIRECT("'SorP'!$A$"&amp;MATCH($S53&amp;$J53,SorP!C:C,0))))</f>
        <v>JP-14</v>
      </c>
      <c r="U53" s="201"/>
      <c r="V53" s="226">
        <f>IF(C53="",NA(),IF(OR(C53="Smelter not listed",C53="Smelter not yet identified"),MATCH($B53&amp;$D53,'Smelter Look-up'!$J:$J,0),MATCH($B53&amp;$C53,'Smelter Look-up'!$J:$J,0)))</f>
        <v>278</v>
      </c>
      <c r="X53" s="227">
        <f t="shared" si="7"/>
        <v>0</v>
      </c>
      <c r="AB53" s="228" t="str">
        <f t="shared" si="8"/>
        <v>GoldTanaka Kikinzoku Kogyo K.K.</v>
      </c>
    </row>
    <row r="54" spans="1:28" s="227" customFormat="1" ht="36.299999999999997">
      <c r="A54" s="181" t="s">
        <v>732</v>
      </c>
      <c r="B54" s="182" t="s">
        <v>1125</v>
      </c>
      <c r="C54" s="186" t="s">
        <v>15073</v>
      </c>
      <c r="D54" s="230" t="s">
        <v>15048</v>
      </c>
      <c r="E54" s="182" t="s">
        <v>1096</v>
      </c>
      <c r="F54" s="182" t="s">
        <v>732</v>
      </c>
      <c r="G54" s="182" t="s">
        <v>13240</v>
      </c>
      <c r="H54" s="183">
        <v>0</v>
      </c>
      <c r="I54" s="184" t="s">
        <v>1655</v>
      </c>
      <c r="J54" s="184" t="s">
        <v>13620</v>
      </c>
      <c r="K54" s="224"/>
      <c r="L54" s="224"/>
      <c r="M54" s="224"/>
      <c r="N54" s="224"/>
      <c r="O54" s="224"/>
      <c r="P54" s="185"/>
      <c r="Q54" s="225"/>
      <c r="R54" s="182" t="str">
        <f ca="1">IF(ISERROR($V54),"",OFFSET('Smelter Look-up'!$C$4,$V54-4,0)&amp;"")</f>
        <v>Shandong Gold Smelting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237</v>
      </c>
      <c r="X54" s="227">
        <f t="shared" si="7"/>
        <v>0</v>
      </c>
      <c r="AB54" s="228" t="str">
        <f t="shared" si="8"/>
        <v>GoldShan Dong Huangjin</v>
      </c>
    </row>
    <row r="55" spans="1:28" s="227" customFormat="1" ht="48.4">
      <c r="A55" s="181" t="s">
        <v>733</v>
      </c>
      <c r="B55" s="182" t="s">
        <v>1125</v>
      </c>
      <c r="C55" s="186" t="s">
        <v>2163</v>
      </c>
      <c r="D55" s="230" t="s">
        <v>2163</v>
      </c>
      <c r="E55" s="182" t="s">
        <v>1104</v>
      </c>
      <c r="F55" s="182" t="s">
        <v>733</v>
      </c>
      <c r="G55" s="182" t="s">
        <v>13240</v>
      </c>
      <c r="H55" s="183">
        <v>0</v>
      </c>
      <c r="I55" s="184" t="s">
        <v>1669</v>
      </c>
      <c r="J55" s="184" t="s">
        <v>1580</v>
      </c>
      <c r="K55" s="224"/>
      <c r="L55" s="224"/>
      <c r="M55" s="224"/>
      <c r="N55" s="224"/>
      <c r="O55" s="224"/>
      <c r="P55" s="185"/>
      <c r="Q55" s="225"/>
      <c r="R55" s="182" t="str">
        <f ca="1">IF(ISERROR($V55),"",OFFSET('Smelter Look-up'!$C$4,$V55-4,0)&amp;"")</f>
        <v>Tokuriki Honten Co., Ltd.</v>
      </c>
      <c r="S55" s="181" t="str">
        <f t="shared" ca="1" si="6"/>
        <v>JP</v>
      </c>
      <c r="T55" s="181" t="str">
        <f ca="1">IF(B55="","",IF(ISERROR(MATCH($J55,SorP!$B$1:$B$6279,0)),"",INDIRECT("'SorP'!$A$"&amp;MATCH($S55&amp;$J55,SorP!C:C,0))))</f>
        <v>JP-11</v>
      </c>
      <c r="U55" s="201"/>
      <c r="V55" s="226">
        <f>IF(C55="",NA(),IF(OR(C55="Smelter not listed",C55="Smelter not yet identified"),MATCH($B55&amp;$D55,'Smelter Look-up'!$J:$J,0),MATCH($B55&amp;$C55,'Smelter Look-up'!$J:$J,0)))</f>
        <v>283</v>
      </c>
      <c r="X55" s="227">
        <f t="shared" si="7"/>
        <v>0</v>
      </c>
      <c r="AB55" s="228" t="str">
        <f t="shared" si="8"/>
        <v>GoldTokuriki Honten Co., Ltd.</v>
      </c>
    </row>
    <row r="56" spans="1:28" s="227" customFormat="1" ht="84.7">
      <c r="A56" s="181" t="s">
        <v>736</v>
      </c>
      <c r="B56" s="182" t="s">
        <v>1125</v>
      </c>
      <c r="C56" s="186" t="s">
        <v>2331</v>
      </c>
      <c r="D56" s="230" t="s">
        <v>2331</v>
      </c>
      <c r="E56" s="182" t="s">
        <v>1091</v>
      </c>
      <c r="F56" s="182" t="s">
        <v>736</v>
      </c>
      <c r="G56" s="182" t="s">
        <v>13240</v>
      </c>
      <c r="H56" s="183">
        <v>0</v>
      </c>
      <c r="I56" s="184" t="s">
        <v>1675</v>
      </c>
      <c r="J56" s="184" t="s">
        <v>3153</v>
      </c>
      <c r="K56" s="224"/>
      <c r="L56" s="224"/>
      <c r="M56" s="224"/>
      <c r="N56" s="224"/>
      <c r="O56" s="224"/>
      <c r="P56" s="185"/>
      <c r="Q56" s="225"/>
      <c r="R56" s="182" t="str">
        <f ca="1">IF(ISERROR($V56),"",OFFSET('Smelter Look-up'!$C$4,$V56-4,0)&amp;"")</f>
        <v>Umicore S.A. Business Unit Precious Metals Refining</v>
      </c>
      <c r="S56" s="181" t="str">
        <f t="shared" ca="1" si="6"/>
        <v>BE</v>
      </c>
      <c r="T56" s="181" t="str">
        <f ca="1">IF(B56="","",IF(ISERROR(MATCH($J56,SorP!$B$1:$B$6279,0)),"",INDIRECT("'SorP'!$A$"&amp;MATCH($S56&amp;$J56,SorP!C:C,0))))</f>
        <v>BE-VAN</v>
      </c>
      <c r="U56" s="201"/>
      <c r="V56" s="226">
        <f>IF(C56="",NA(),IF(OR(C56="Smelter not listed",C56="Smelter not yet identified"),MATCH($B56&amp;$D56,'Smelter Look-up'!$J:$J,0),MATCH($B56&amp;$C56,'Smelter Look-up'!$J:$J,0)))</f>
        <v>293</v>
      </c>
      <c r="X56" s="227">
        <f t="shared" si="7"/>
        <v>0</v>
      </c>
      <c r="AB56" s="228" t="str">
        <f t="shared" si="8"/>
        <v>GoldUmicore S.A. Business Unit Precious Metals Refining</v>
      </c>
    </row>
    <row r="57" spans="1:28" s="227" customFormat="1" ht="72.599999999999994">
      <c r="A57" s="181" t="s">
        <v>737</v>
      </c>
      <c r="B57" s="182" t="s">
        <v>1125</v>
      </c>
      <c r="C57" s="186" t="s">
        <v>816</v>
      </c>
      <c r="D57" s="230" t="s">
        <v>816</v>
      </c>
      <c r="E57" s="182" t="s">
        <v>15805</v>
      </c>
      <c r="F57" s="182" t="s">
        <v>737</v>
      </c>
      <c r="G57" s="182" t="s">
        <v>13240</v>
      </c>
      <c r="H57" s="183">
        <v>0</v>
      </c>
      <c r="I57" s="184" t="s">
        <v>1677</v>
      </c>
      <c r="J57" s="184" t="s">
        <v>1617</v>
      </c>
      <c r="K57" s="224"/>
      <c r="L57" s="224"/>
      <c r="M57" s="224"/>
      <c r="N57" s="224"/>
      <c r="O57" s="224"/>
      <c r="P57" s="185"/>
      <c r="Q57" s="225"/>
      <c r="R57" s="182" t="str">
        <f ca="1">IF(ISERROR($V57),"",OFFSET('Smelter Look-up'!$C$4,$V57-4,0)&amp;"")</f>
        <v>United Precious Metal Refining, Inc.</v>
      </c>
      <c r="S57" s="181" t="str">
        <f t="shared" ca="1" si="6"/>
        <v>Unknown</v>
      </c>
      <c r="T57" s="181" t="e">
        <f ca="1">IF(B57="","",IF(ISERROR(MATCH($J57,SorP!$B$1:$B$6279,0)),"",INDIRECT("'SorP'!$A$"&amp;MATCH($S57&amp;$J57,SorP!C:C,0))))</f>
        <v>#N/A</v>
      </c>
      <c r="U57" s="201"/>
      <c r="V57" s="226">
        <f>IF(C57="",NA(),IF(OR(C57="Smelter not listed",C57="Smelter not yet identified"),MATCH($B57&amp;$D57,'Smelter Look-up'!$J:$J,0),MATCH($B57&amp;$C57,'Smelter Look-up'!$J:$J,0)))</f>
        <v>294</v>
      </c>
      <c r="X57" s="227">
        <f t="shared" si="7"/>
        <v>0</v>
      </c>
      <c r="AB57" s="228" t="str">
        <f t="shared" si="8"/>
        <v>GoldUnited Precious Metal Refining, Inc.</v>
      </c>
    </row>
    <row r="58" spans="1:28" s="227" customFormat="1" ht="36.299999999999997">
      <c r="A58" s="181" t="s">
        <v>738</v>
      </c>
      <c r="B58" s="182" t="s">
        <v>1125</v>
      </c>
      <c r="C58" s="186" t="s">
        <v>2333</v>
      </c>
      <c r="D58" s="230" t="s">
        <v>2333</v>
      </c>
      <c r="E58" s="182" t="s">
        <v>1094</v>
      </c>
      <c r="F58" s="182" t="s">
        <v>738</v>
      </c>
      <c r="G58" s="182" t="s">
        <v>13240</v>
      </c>
      <c r="H58" s="183">
        <v>0</v>
      </c>
      <c r="I58" s="184" t="s">
        <v>1678</v>
      </c>
      <c r="J58" s="184" t="s">
        <v>1549</v>
      </c>
      <c r="K58" s="224"/>
      <c r="L58" s="224"/>
      <c r="M58" s="224"/>
      <c r="N58" s="224"/>
      <c r="O58" s="224"/>
      <c r="P58" s="185"/>
      <c r="Q58" s="225"/>
      <c r="R58" s="182" t="str">
        <f ca="1">IF(ISERROR($V58),"",OFFSET('Smelter Look-up'!$C$4,$V58-4,0)&amp;"")</f>
        <v>Valcambi S.A.</v>
      </c>
      <c r="S58" s="181" t="str">
        <f t="shared" ca="1" si="6"/>
        <v>CH</v>
      </c>
      <c r="T58" s="181" t="str">
        <f ca="1">IF(B58="","",IF(ISERROR(MATCH($J58,SorP!$B$1:$B$6279,0)),"",INDIRECT("'SorP'!$A$"&amp;MATCH($S58&amp;$J58,SorP!C:C,0))))</f>
        <v>CH-TI</v>
      </c>
      <c r="U58" s="201"/>
      <c r="V58" s="226">
        <f>IF(C58="",NA(),IF(OR(C58="Smelter not listed",C58="Smelter not yet identified"),MATCH($B58&amp;$D58,'Smelter Look-up'!$J:$J,0),MATCH($B58&amp;$C58,'Smelter Look-up'!$J:$J,0)))</f>
        <v>295</v>
      </c>
      <c r="X58" s="227">
        <f t="shared" si="7"/>
        <v>0</v>
      </c>
      <c r="AB58" s="228" t="str">
        <f t="shared" si="8"/>
        <v>GoldValcambi S.A.</v>
      </c>
    </row>
    <row r="59" spans="1:28" s="227" customFormat="1" ht="36.299999999999997">
      <c r="A59" s="181" t="s">
        <v>739</v>
      </c>
      <c r="B59" s="182" t="s">
        <v>1125</v>
      </c>
      <c r="C59" s="186" t="s">
        <v>1016</v>
      </c>
      <c r="D59" s="230" t="s">
        <v>2488</v>
      </c>
      <c r="E59" s="182" t="s">
        <v>1089</v>
      </c>
      <c r="F59" s="182" t="s">
        <v>739</v>
      </c>
      <c r="G59" s="182" t="s">
        <v>13240</v>
      </c>
      <c r="H59" s="183">
        <v>0</v>
      </c>
      <c r="I59" s="184" t="s">
        <v>1679</v>
      </c>
      <c r="J59" s="184" t="s">
        <v>1680</v>
      </c>
      <c r="K59" s="224"/>
      <c r="L59" s="224"/>
      <c r="M59" s="224"/>
      <c r="N59" s="224"/>
      <c r="O59" s="224"/>
      <c r="P59" s="185"/>
      <c r="Q59" s="225"/>
      <c r="R59" s="182" t="str">
        <f ca="1">IF(ISERROR($V59),"",OFFSET('Smelter Look-up'!$C$4,$V59-4,0)&amp;"")</f>
        <v>Western Australian Mint (T/a The Perth Mint)</v>
      </c>
      <c r="S59" s="181" t="str">
        <f t="shared" ca="1" si="6"/>
        <v>AU</v>
      </c>
      <c r="T59" s="181" t="str">
        <f ca="1">IF(B59="","",IF(ISERROR(MATCH($J59,SorP!$B$1:$B$6279,0)),"",INDIRECT("'SorP'!$A$"&amp;MATCH($S59&amp;$J59,SorP!C:C,0))))</f>
        <v>AU-WA</v>
      </c>
      <c r="U59" s="201"/>
      <c r="V59" s="226">
        <f>IF(C59="",NA(),IF(OR(C59="Smelter not listed",C59="Smelter not yet identified"),MATCH($B59&amp;$D59,'Smelter Look-up'!$J:$J,0),MATCH($B59&amp;$C59,'Smelter Look-up'!$J:$J,0)))</f>
        <v>281</v>
      </c>
      <c r="X59" s="227">
        <f t="shared" si="7"/>
        <v>0</v>
      </c>
      <c r="AB59" s="228" t="str">
        <f t="shared" si="8"/>
        <v>GoldThe Perth Mint</v>
      </c>
    </row>
    <row r="60" spans="1:28" s="227" customFormat="1" ht="60.5">
      <c r="A60" s="181" t="s">
        <v>740</v>
      </c>
      <c r="B60" s="182" t="s">
        <v>1125</v>
      </c>
      <c r="C60" s="186" t="s">
        <v>2164</v>
      </c>
      <c r="D60" s="230" t="s">
        <v>12926</v>
      </c>
      <c r="E60" s="182" t="s">
        <v>1104</v>
      </c>
      <c r="F60" s="182" t="s">
        <v>740</v>
      </c>
      <c r="G60" s="182" t="s">
        <v>13240</v>
      </c>
      <c r="H60" s="183">
        <v>0</v>
      </c>
      <c r="I60" s="184" t="s">
        <v>12941</v>
      </c>
      <c r="J60" s="184" t="s">
        <v>6627</v>
      </c>
      <c r="K60" s="224"/>
      <c r="L60" s="224"/>
      <c r="M60" s="224"/>
      <c r="N60" s="224"/>
      <c r="O60" s="224"/>
      <c r="P60" s="185"/>
      <c r="Q60" s="225"/>
      <c r="R60" s="182" t="str">
        <f ca="1">IF(ISERROR($V60),"",OFFSET('Smelter Look-up'!$C$4,$V60-4,0)&amp;"")</f>
        <v>Yamakin Co., Ltd.</v>
      </c>
      <c r="S60" s="181" t="str">
        <f t="shared" ca="1" si="6"/>
        <v>JP</v>
      </c>
      <c r="T60" s="181" t="str">
        <f ca="1">IF(B60="","",IF(ISERROR(MATCH($J60,SorP!$B$1:$B$6279,0)),"",INDIRECT("'SorP'!$A$"&amp;MATCH($S60&amp;$J60,SorP!C:C,0))))</f>
        <v>JP-39</v>
      </c>
      <c r="U60" s="201"/>
      <c r="V60" s="226">
        <f>IF(C60="",NA(),IF(OR(C60="Smelter not listed",C60="Smelter not yet identified"),MATCH($B60&amp;$D60,'Smelter Look-up'!$J:$J,0),MATCH($B60&amp;$C60,'Smelter Look-up'!$J:$J,0)))</f>
        <v>303</v>
      </c>
      <c r="X60" s="227">
        <f t="shared" si="7"/>
        <v>0</v>
      </c>
      <c r="AB60" s="228" t="str">
        <f t="shared" si="8"/>
        <v>GoldYamamoto Precious Metal Co., Ltd.</v>
      </c>
    </row>
    <row r="61" spans="1:28" s="227" customFormat="1" ht="48.4">
      <c r="A61" s="181" t="s">
        <v>741</v>
      </c>
      <c r="B61" s="182" t="s">
        <v>1125</v>
      </c>
      <c r="C61" s="186" t="s">
        <v>2165</v>
      </c>
      <c r="D61" s="230" t="s">
        <v>2165</v>
      </c>
      <c r="E61" s="182" t="s">
        <v>1104</v>
      </c>
      <c r="F61" s="182" t="s">
        <v>741</v>
      </c>
      <c r="G61" s="182" t="s">
        <v>13240</v>
      </c>
      <c r="H61" s="183">
        <v>0</v>
      </c>
      <c r="I61" s="184" t="s">
        <v>1685</v>
      </c>
      <c r="J61" s="184" t="s">
        <v>1664</v>
      </c>
      <c r="K61" s="224"/>
      <c r="L61" s="224"/>
      <c r="M61" s="224"/>
      <c r="N61" s="224"/>
      <c r="O61" s="224"/>
      <c r="P61" s="185"/>
      <c r="Q61" s="225"/>
      <c r="R61" s="182" t="str">
        <f ca="1">IF(ISERROR($V61),"",OFFSET('Smelter Look-up'!$C$4,$V61-4,0)&amp;"")</f>
        <v>Yokohama Metal Co., Ltd.</v>
      </c>
      <c r="S61" s="181" t="str">
        <f t="shared" ca="1" si="6"/>
        <v>JP</v>
      </c>
      <c r="T61" s="181" t="str">
        <f ca="1">IF(B61="","",IF(ISERROR(MATCH($J61,SorP!$B$1:$B$6279,0)),"",INDIRECT("'SorP'!$A$"&amp;MATCH($S61&amp;$J61,SorP!C:C,0))))</f>
        <v>JP-14</v>
      </c>
      <c r="U61" s="201"/>
      <c r="V61" s="226">
        <f>IF(C61="",NA(),IF(OR(C61="Smelter not listed",C61="Smelter not yet identified"),MATCH($B61&amp;$D61,'Smelter Look-up'!$J:$J,0),MATCH($B61&amp;$C61,'Smelter Look-up'!$J:$J,0)))</f>
        <v>306</v>
      </c>
      <c r="X61" s="227">
        <f t="shared" si="7"/>
        <v>0</v>
      </c>
      <c r="AB61" s="228" t="str">
        <f t="shared" si="8"/>
        <v>GoldYokohama Metal Co., Ltd.</v>
      </c>
    </row>
    <row r="62" spans="1:28" s="227" customFormat="1" ht="108.9">
      <c r="A62" s="181" t="s">
        <v>743</v>
      </c>
      <c r="B62" s="182" t="s">
        <v>1125</v>
      </c>
      <c r="C62" s="186" t="s">
        <v>1320</v>
      </c>
      <c r="D62" s="230" t="s">
        <v>1320</v>
      </c>
      <c r="E62" s="182" t="s">
        <v>1096</v>
      </c>
      <c r="F62" s="182" t="s">
        <v>743</v>
      </c>
      <c r="G62" s="182" t="s">
        <v>13240</v>
      </c>
      <c r="H62" s="183">
        <v>0</v>
      </c>
      <c r="I62" s="184" t="s">
        <v>1686</v>
      </c>
      <c r="J62" s="184" t="s">
        <v>15810</v>
      </c>
      <c r="K62" s="224"/>
      <c r="L62" s="224"/>
      <c r="M62" s="224"/>
      <c r="N62" s="224"/>
      <c r="O62" s="224"/>
      <c r="P62" s="185"/>
      <c r="Q62" s="225"/>
      <c r="R62" s="182" t="str">
        <f ca="1">IF(ISERROR($V62),"",OFFSET('Smelter Look-up'!$C$4,$V62-4,0)&amp;"")</f>
        <v>Zhongyuan Gold Smelter of Zhongjin Gold Corporation</v>
      </c>
      <c r="S62" s="181" t="str">
        <f t="shared" ca="1" si="6"/>
        <v>CN</v>
      </c>
      <c r="T62" s="181" t="str">
        <f ca="1">IF(B62="","",IF(ISERROR(MATCH($J62,SorP!$B$1:$B$6279,0)),"",INDIRECT("'SorP'!$A$"&amp;MATCH($S62&amp;$J62,SorP!C:C,0))))</f>
        <v/>
      </c>
      <c r="U62" s="201"/>
      <c r="V62" s="226">
        <f>IF(C62="",NA(),IF(OR(C62="Smelter not listed",C62="Smelter not yet identified"),MATCH($B62&amp;$D62,'Smelter Look-up'!$J:$J,0),MATCH($B62&amp;$C62,'Smelter Look-up'!$J:$J,0)))</f>
        <v>316</v>
      </c>
      <c r="X62" s="227">
        <f t="shared" si="7"/>
        <v>0</v>
      </c>
      <c r="AB62" s="228" t="str">
        <f t="shared" si="8"/>
        <v>GoldZhongyuan Gold Smelter of Zhongjin Gold Corporation</v>
      </c>
    </row>
    <row r="63" spans="1:28" s="227" customFormat="1" ht="48.4">
      <c r="A63" s="181" t="s">
        <v>744</v>
      </c>
      <c r="B63" s="182" t="s">
        <v>1125</v>
      </c>
      <c r="C63" s="186" t="s">
        <v>37</v>
      </c>
      <c r="D63" s="230" t="s">
        <v>2496</v>
      </c>
      <c r="E63" s="182" t="s">
        <v>1096</v>
      </c>
      <c r="F63" s="182" t="s">
        <v>744</v>
      </c>
      <c r="G63" s="182" t="s">
        <v>13240</v>
      </c>
      <c r="H63" s="183">
        <v>0</v>
      </c>
      <c r="I63" s="184" t="s">
        <v>1689</v>
      </c>
      <c r="J63" s="184" t="s">
        <v>15811</v>
      </c>
      <c r="K63" s="224"/>
      <c r="L63" s="224"/>
      <c r="M63" s="224"/>
      <c r="N63" s="224"/>
      <c r="O63" s="224"/>
      <c r="P63" s="185"/>
      <c r="Q63" s="225"/>
      <c r="R63" s="182" t="str">
        <f ca="1">IF(ISERROR($V63),"",OFFSET('Smelter Look-up'!$C$4,$V63-4,0)&amp;"")</f>
        <v>Gold Refinery of Zijin Mining Group Co.,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317</v>
      </c>
      <c r="X63" s="227">
        <f t="shared" si="7"/>
        <v>0</v>
      </c>
      <c r="AB63" s="228" t="str">
        <f t="shared" si="8"/>
        <v>GoldZijin Kuang Ye Refinery</v>
      </c>
    </row>
    <row r="64" spans="1:28" s="227" customFormat="1" ht="72.599999999999994">
      <c r="A64" s="181" t="s">
        <v>1620</v>
      </c>
      <c r="B64" s="182" t="s">
        <v>1125</v>
      </c>
      <c r="C64" s="186" t="s">
        <v>1619</v>
      </c>
      <c r="D64" s="230" t="s">
        <v>1619</v>
      </c>
      <c r="E64" s="182" t="s">
        <v>1096</v>
      </c>
      <c r="F64" s="182" t="s">
        <v>1620</v>
      </c>
      <c r="G64" s="182" t="s">
        <v>13240</v>
      </c>
      <c r="H64" s="183"/>
      <c r="I64" s="184" t="s">
        <v>2512</v>
      </c>
      <c r="J64" s="184" t="s">
        <v>13632</v>
      </c>
      <c r="K64" s="224"/>
      <c r="L64" s="224"/>
      <c r="M64" s="224"/>
      <c r="N64" s="224"/>
      <c r="O64" s="224"/>
      <c r="P64" s="185"/>
      <c r="Q64" s="225"/>
      <c r="R64" s="182" t="str">
        <f ca="1">IF(ISERROR($V64),"",OFFSET('Smelter Look-up'!$C$4,$V64-4,0)&amp;"")</f>
        <v>Metalor Technologies (Suzhou) Ltd.</v>
      </c>
      <c r="S64" s="181" t="str">
        <f t="shared" ca="1" si="6"/>
        <v>CN</v>
      </c>
      <c r="T64" s="181" t="str">
        <f ca="1">IF(B64="","",IF(ISERROR(MATCH($J64,SorP!$B$1:$B$6279,0)),"",INDIRECT("'SorP'!$A$"&amp;MATCH($S64&amp;$J64,SorP!C:C,0))))</f>
        <v>CN-JS</v>
      </c>
      <c r="U64" s="201"/>
      <c r="V64" s="226">
        <f>IF(C64="",NA(),IF(OR(C64="Smelter not listed",C64="Smelter not yet identified"),MATCH($B64&amp;$D64,'Smelter Look-up'!$J:$J,0),MATCH($B64&amp;$C64,'Smelter Look-up'!$J:$J,0)))</f>
        <v>174</v>
      </c>
      <c r="X64" s="227">
        <f t="shared" si="7"/>
        <v>0</v>
      </c>
      <c r="AB64" s="228" t="str">
        <f t="shared" si="8"/>
        <v>GoldMetalor Technologies (Suzhou) Ltd.</v>
      </c>
    </row>
    <row r="65" spans="1:28" s="227" customFormat="1" ht="20.2">
      <c r="A65" s="181" t="s">
        <v>15816</v>
      </c>
      <c r="B65" s="182" t="s">
        <v>1125</v>
      </c>
      <c r="C65" s="186" t="s">
        <v>1568</v>
      </c>
      <c r="D65" s="230" t="s">
        <v>2142</v>
      </c>
      <c r="E65" s="182" t="s">
        <v>1096</v>
      </c>
      <c r="F65" s="182" t="s">
        <v>742</v>
      </c>
      <c r="G65" s="182" t="s">
        <v>13240</v>
      </c>
      <c r="H65" s="183"/>
      <c r="I65" s="184" t="s">
        <v>1567</v>
      </c>
      <c r="J65" s="184" t="s">
        <v>13628</v>
      </c>
      <c r="K65" s="224"/>
      <c r="L65" s="224"/>
      <c r="M65" s="224"/>
      <c r="N65" s="224"/>
      <c r="O65" s="224"/>
      <c r="P65" s="185"/>
      <c r="Q65" s="225"/>
      <c r="R65" s="182" t="str">
        <f ca="1">IF(ISERROR($V65),"",OFFSET('Smelter Look-up'!$C$4,$V65-4,0)&amp;"")</f>
        <v>Yunnan Copper Industry Co., Ltd.</v>
      </c>
      <c r="S65" s="181" t="str">
        <f t="shared" ca="1" si="6"/>
        <v>CN</v>
      </c>
      <c r="T65" s="181" t="str">
        <f ca="1">IF(B65="","",IF(ISERROR(MATCH($J65,SorP!$B$1:$B$6279,0)),"",INDIRECT("'SorP'!$A$"&amp;MATCH($S65&amp;$J65,SorP!C:C,0))))</f>
        <v>CN-YN</v>
      </c>
      <c r="U65" s="201"/>
      <c r="V65" s="226">
        <f>IF(C65="",NA(),IF(OR(C65="Smelter not listed",C65="Smelter not yet identified"),MATCH($B65&amp;$D65,'Smelter Look-up'!$J:$J,0),MATCH($B65&amp;$C65,'Smelter Look-up'!$J:$J,0)))</f>
        <v>53</v>
      </c>
      <c r="X65" s="227">
        <f t="shared" si="7"/>
        <v>0</v>
      </c>
      <c r="AB65" s="228" t="str">
        <f t="shared" si="8"/>
        <v>GoldCHALCO Yunnan Copper Co. Ltd.</v>
      </c>
    </row>
    <row r="66" spans="1:28" s="227" customFormat="1" ht="20.2">
      <c r="A66" s="181" t="s">
        <v>763</v>
      </c>
      <c r="B66" s="182" t="s">
        <v>1126</v>
      </c>
      <c r="C66" s="186" t="s">
        <v>49</v>
      </c>
      <c r="D66" s="230" t="s">
        <v>49</v>
      </c>
      <c r="E66" s="182" t="s">
        <v>15805</v>
      </c>
      <c r="F66" s="182" t="s">
        <v>763</v>
      </c>
      <c r="G66" s="182" t="s">
        <v>13240</v>
      </c>
      <c r="H66" s="183">
        <v>0</v>
      </c>
      <c r="I66" s="184" t="s">
        <v>1760</v>
      </c>
      <c r="J66" s="184" t="s">
        <v>1737</v>
      </c>
      <c r="K66" s="224"/>
      <c r="L66" s="224"/>
      <c r="M66" s="224"/>
      <c r="N66" s="224"/>
      <c r="O66" s="224"/>
      <c r="P66" s="185"/>
      <c r="Q66" s="225"/>
      <c r="R66" s="182" t="str">
        <f ca="1">IF(ISERROR($V66),"",OFFSET('Smelter Look-up'!$C$4,$V66-4,0)&amp;"")</f>
        <v>Alpha</v>
      </c>
      <c r="S66" s="181" t="str">
        <f t="shared" ca="1" si="6"/>
        <v>Unknown</v>
      </c>
      <c r="T66" s="181" t="e">
        <f ca="1">IF(B66="","",IF(ISERROR(MATCH($J66,SorP!$B$1:$B$6279,0)),"",INDIRECT("'SorP'!$A$"&amp;MATCH($S66&amp;$J66,SorP!C:C,0))))</f>
        <v>#N/A</v>
      </c>
      <c r="U66" s="201"/>
      <c r="V66" s="226">
        <f>IF(C66="",NA(),IF(OR(C66="Smelter not listed",C66="Smelter not yet identified"),MATCH($B66&amp;$D66,'Smelter Look-up'!$J:$J,0),MATCH($B66&amp;$C66,'Smelter Look-up'!$J:$J,0)))</f>
        <v>389</v>
      </c>
      <c r="X66" s="227">
        <f t="shared" si="7"/>
        <v>0</v>
      </c>
      <c r="AB66" s="228" t="str">
        <f t="shared" si="8"/>
        <v>TinAlpha</v>
      </c>
    </row>
    <row r="67" spans="1:28" s="227" customFormat="1" ht="24.2">
      <c r="A67" s="181" t="s">
        <v>1405</v>
      </c>
      <c r="B67" s="182" t="s">
        <v>1126</v>
      </c>
      <c r="C67" s="186" t="s">
        <v>902</v>
      </c>
      <c r="D67" s="230" t="s">
        <v>902</v>
      </c>
      <c r="E67" s="182" t="s">
        <v>1104</v>
      </c>
      <c r="F67" s="182" t="s">
        <v>1405</v>
      </c>
      <c r="G67" s="182" t="s">
        <v>13240</v>
      </c>
      <c r="H67" s="183">
        <v>0</v>
      </c>
      <c r="I67" s="184" t="s">
        <v>1574</v>
      </c>
      <c r="J67" s="184" t="s">
        <v>1575</v>
      </c>
      <c r="K67" s="224"/>
      <c r="L67" s="224"/>
      <c r="M67" s="224"/>
      <c r="N67" s="224"/>
      <c r="O67" s="224"/>
      <c r="P67" s="185"/>
      <c r="Q67" s="225"/>
      <c r="R67" s="182" t="str">
        <f ca="1">IF(ISERROR($V67),"",OFFSET('Smelter Look-up'!$C$4,$V67-4,0)&amp;"")</f>
        <v>Dowa</v>
      </c>
      <c r="S67" s="181" t="str">
        <f t="shared" ca="1" si="6"/>
        <v>JP</v>
      </c>
      <c r="T67" s="181" t="str">
        <f ca="1">IF(B67="","",IF(ISERROR(MATCH($J67,SorP!$B$1:$B$6279,0)),"",INDIRECT("'SorP'!$A$"&amp;MATCH($S67&amp;$J67,SorP!C:C,0))))</f>
        <v>JP-05</v>
      </c>
      <c r="U67" s="201"/>
      <c r="V67" s="226">
        <f>IF(C67="",NA(),IF(OR(C67="Smelter not listed",C67="Smelter not yet identified"),MATCH($B67&amp;$D67,'Smelter Look-up'!$J:$J,0),MATCH($B67&amp;$C67,'Smelter Look-up'!$J:$J,0)))</f>
        <v>417</v>
      </c>
      <c r="X67" s="227">
        <f t="shared" si="7"/>
        <v>0</v>
      </c>
      <c r="AB67" s="228" t="str">
        <f t="shared" si="8"/>
        <v>TinDowa</v>
      </c>
    </row>
    <row r="68" spans="1:28" s="227" customFormat="1" ht="84.7">
      <c r="A68" s="181" t="s">
        <v>764</v>
      </c>
      <c r="B68" s="182" t="s">
        <v>1126</v>
      </c>
      <c r="C68" s="186" t="s">
        <v>838</v>
      </c>
      <c r="D68" s="230" t="s">
        <v>838</v>
      </c>
      <c r="E68" s="182" t="s">
        <v>15812</v>
      </c>
      <c r="F68" s="182" t="s">
        <v>764</v>
      </c>
      <c r="G68" s="182" t="s">
        <v>13240</v>
      </c>
      <c r="H68" s="183">
        <v>0</v>
      </c>
      <c r="I68" s="184" t="s">
        <v>1769</v>
      </c>
      <c r="J68" s="184" t="s">
        <v>1769</v>
      </c>
      <c r="K68" s="224"/>
      <c r="L68" s="224"/>
      <c r="M68" s="224"/>
      <c r="N68" s="224"/>
      <c r="O68" s="224"/>
      <c r="P68" s="185"/>
      <c r="Q68" s="225"/>
      <c r="R68" s="182" t="str">
        <f ca="1">IF(ISERROR($V68),"",OFFSET('Smelter Look-up'!$C$4,$V68-4,0)&amp;"")</f>
        <v>EM Vinto</v>
      </c>
      <c r="S68" s="181" t="str">
        <f t="shared" ca="1" si="6"/>
        <v>Unknown</v>
      </c>
      <c r="T68" s="181" t="e">
        <f ca="1">IF(B68="","",IF(ISERROR(MATCH($J68,SorP!$B$1:$B$6279,0)),"",INDIRECT("'SorP'!$A$"&amp;MATCH($S68&amp;$J68,SorP!C:C,0))))</f>
        <v>#N/A</v>
      </c>
      <c r="U68" s="201"/>
      <c r="V68" s="226">
        <f>IF(C68="",NA(),IF(OR(C68="Smelter not listed",C68="Smelter not yet identified"),MATCH($B68&amp;$D68,'Smelter Look-up'!$J:$J,0),MATCH($B68&amp;$C68,'Smelter Look-up'!$J:$J,0)))</f>
        <v>421</v>
      </c>
      <c r="X68" s="227">
        <f t="shared" si="7"/>
        <v>0</v>
      </c>
      <c r="AB68" s="228" t="str">
        <f t="shared" si="8"/>
        <v>TinEM Vinto</v>
      </c>
    </row>
    <row r="69" spans="1:28" s="227" customFormat="1" ht="48.4">
      <c r="A69" s="181" t="s">
        <v>767</v>
      </c>
      <c r="B69" s="182" t="s">
        <v>1126</v>
      </c>
      <c r="C69" s="186" t="s">
        <v>2144</v>
      </c>
      <c r="D69" s="230" t="s">
        <v>2144</v>
      </c>
      <c r="E69" s="182" t="s">
        <v>1096</v>
      </c>
      <c r="F69" s="182" t="s">
        <v>767</v>
      </c>
      <c r="G69" s="182" t="s">
        <v>13240</v>
      </c>
      <c r="H69" s="183">
        <v>0</v>
      </c>
      <c r="I69" s="184" t="s">
        <v>2446</v>
      </c>
      <c r="J69" s="184" t="s">
        <v>15813</v>
      </c>
      <c r="K69" s="224"/>
      <c r="L69" s="224"/>
      <c r="M69" s="224"/>
      <c r="N69" s="224"/>
      <c r="O69" s="224"/>
      <c r="P69" s="185"/>
      <c r="Q69" s="225"/>
      <c r="R69" s="182" t="str">
        <f ca="1">IF(ISERROR($V69),"",OFFSET('Smelter Look-up'!$C$4,$V69-4,0)&amp;"")</f>
        <v>Gejiu Non-Ferrous Metal Processing Co., Ltd.</v>
      </c>
      <c r="S69" s="181" t="str">
        <f t="shared" ref="S69" ca="1" si="9">IF(B69="","",IF(ISERROR(MATCH($E69,CL,0)),"Unknown",INDIRECT("'C'!$A$"&amp;MATCH($E69,CL,0)+1)))</f>
        <v>CN</v>
      </c>
      <c r="T69" s="181" t="str">
        <f ca="1">IF(B69="","",IF(ISERROR(MATCH($J69,SorP!$B$1:$B$6279,0)),"",INDIRECT("'SorP'!$A$"&amp;MATCH($S69&amp;$J69,SorP!C:C,0))))</f>
        <v/>
      </c>
      <c r="U69" s="201"/>
      <c r="V69" s="226">
        <f>IF(C69="",NA(),IF(OR(C69="Smelter not listed",C69="Smelter not yet identified"),MATCH($B69&amp;$D69,'Smelter Look-up'!$J:$J,0),MATCH($B69&amp;$C69,'Smelter Look-up'!$J:$J,0)))</f>
        <v>436</v>
      </c>
      <c r="X69" s="227">
        <f t="shared" ref="X69" si="10">IF(AND(C69="Smelter not listed",OR(LEN(D69)=0,LEN(E69)=0)),1,0)</f>
        <v>0</v>
      </c>
      <c r="AB69" s="228" t="str">
        <f t="shared" ref="AB69" si="11">B69&amp;C69</f>
        <v>TinGejiu Non-Ferrous Metal Processing Co., Ltd.</v>
      </c>
    </row>
    <row r="70" spans="1:28" s="227" customFormat="1" ht="72.599999999999994">
      <c r="A70" s="181" t="s">
        <v>770</v>
      </c>
      <c r="B70" s="182" t="s">
        <v>1126</v>
      </c>
      <c r="C70" s="186" t="s">
        <v>1322</v>
      </c>
      <c r="D70" s="230" t="s">
        <v>1322</v>
      </c>
      <c r="E70" s="182" t="s">
        <v>1096</v>
      </c>
      <c r="F70" s="182" t="s">
        <v>770</v>
      </c>
      <c r="G70" s="182" t="s">
        <v>13240</v>
      </c>
      <c r="H70" s="183">
        <v>0</v>
      </c>
      <c r="I70" s="184" t="s">
        <v>1775</v>
      </c>
      <c r="J70" s="184" t="s">
        <v>15814</v>
      </c>
      <c r="K70" s="224"/>
      <c r="L70" s="224"/>
      <c r="M70" s="224"/>
      <c r="N70" s="224"/>
      <c r="O70" s="224"/>
      <c r="P70" s="185"/>
      <c r="Q70" s="225"/>
      <c r="R70" s="182" t="str">
        <f ca="1">IF(ISERROR($V70),"",OFFSET('Smelter Look-up'!$C$4,$V70-4,0)&amp;"")</f>
        <v>China Tin Group Co., Ltd.</v>
      </c>
      <c r="S70" s="181" t="str">
        <f t="shared" ref="S70:S101" ca="1" si="12">IF(B70="","",IF(ISERROR(MATCH($E70,CL,0)),"Unknown",INDIRECT("'C'!$A$"&amp;MATCH($E70,CL,0)+1)))</f>
        <v>CN</v>
      </c>
      <c r="T70" s="181" t="str">
        <f ca="1">IF(B70="","",IF(ISERROR(MATCH($J70,SorP!$B$1:$B$6279,0)),"",INDIRECT("'SorP'!$A$"&amp;MATCH($S70&amp;$J70,SorP!C:C,0))))</f>
        <v/>
      </c>
      <c r="U70" s="201"/>
      <c r="V70" s="226">
        <f>IF(C70="",NA(),IF(OR(C70="Smelter not listed",C70="Smelter not yet identified"),MATCH($B70&amp;$D70,'Smelter Look-up'!$J:$J,0),MATCH($B70&amp;$C70,'Smelter Look-up'!$J:$J,0)))</f>
        <v>403</v>
      </c>
      <c r="X70" s="227">
        <f t="shared" ref="X70:X101" si="13">IF(AND(C70="Smelter not listed",OR(LEN(D70)=0,LEN(E70)=0)),1,0)</f>
        <v>0</v>
      </c>
      <c r="AB70" s="228" t="str">
        <f t="shared" ref="AB70:AB101" si="14">B70&amp;C70</f>
        <v>TinChina Tin Group Co., Ltd.</v>
      </c>
    </row>
    <row r="71" spans="1:28" s="227" customFormat="1" ht="48.4">
      <c r="A71" s="181" t="s">
        <v>771</v>
      </c>
      <c r="B71" s="182" t="s">
        <v>1126</v>
      </c>
      <c r="C71" s="186" t="s">
        <v>817</v>
      </c>
      <c r="D71" s="230" t="s">
        <v>817</v>
      </c>
      <c r="E71" s="182" t="s">
        <v>1111</v>
      </c>
      <c r="F71" s="182" t="s">
        <v>771</v>
      </c>
      <c r="G71" s="182" t="s">
        <v>13240</v>
      </c>
      <c r="H71" s="183">
        <v>0</v>
      </c>
      <c r="I71" s="184" t="s">
        <v>1780</v>
      </c>
      <c r="J71" s="184" t="s">
        <v>8688</v>
      </c>
      <c r="K71" s="224"/>
      <c r="L71" s="224"/>
      <c r="M71" s="224"/>
      <c r="N71" s="224"/>
      <c r="O71" s="224"/>
      <c r="P71" s="185"/>
      <c r="Q71" s="225"/>
      <c r="R71" s="182" t="str">
        <f ca="1">IF(ISERROR($V71),"",OFFSET('Smelter Look-up'!$C$4,$V71-4,0)&amp;"")</f>
        <v>Malaysia Smelting Corporation (MSC)</v>
      </c>
      <c r="S71" s="181" t="str">
        <f t="shared" ca="1" si="12"/>
        <v>MY</v>
      </c>
      <c r="T71" s="181" t="str">
        <f ca="1">IF(B71="","",IF(ISERROR(MATCH($J71,SorP!$B$1:$B$6279,0)),"",INDIRECT("'SorP'!$A$"&amp;MATCH($S71&amp;$J71,SorP!C:C,0))))</f>
        <v>MY-07</v>
      </c>
      <c r="U71" s="201"/>
      <c r="V71" s="226">
        <f>IF(C71="",NA(),IF(OR(C71="Smelter not listed",C71="Smelter not yet identified"),MATCH($B71&amp;$D71,'Smelter Look-up'!$J:$J,0),MATCH($B71&amp;$C71,'Smelter Look-up'!$J:$J,0)))</f>
        <v>458</v>
      </c>
      <c r="X71" s="227">
        <f t="shared" si="13"/>
        <v>0</v>
      </c>
      <c r="AB71" s="228" t="str">
        <f t="shared" si="14"/>
        <v>TinMalaysia Smelting Corporation (MSC)</v>
      </c>
    </row>
    <row r="72" spans="1:28" s="227" customFormat="1" ht="24.2">
      <c r="A72" s="181" t="s">
        <v>772</v>
      </c>
      <c r="B72" s="182" t="s">
        <v>1126</v>
      </c>
      <c r="C72" s="186" t="s">
        <v>12430</v>
      </c>
      <c r="D72" s="230" t="s">
        <v>12430</v>
      </c>
      <c r="E72" s="182" t="s">
        <v>1092</v>
      </c>
      <c r="F72" s="182" t="s">
        <v>772</v>
      </c>
      <c r="G72" s="182" t="s">
        <v>13240</v>
      </c>
      <c r="H72" s="183">
        <v>0</v>
      </c>
      <c r="I72" s="184" t="s">
        <v>1783</v>
      </c>
      <c r="J72" s="184" t="s">
        <v>1674</v>
      </c>
      <c r="K72" s="224"/>
      <c r="L72" s="224"/>
      <c r="M72" s="224"/>
      <c r="N72" s="224"/>
      <c r="O72" s="224"/>
      <c r="P72" s="185"/>
      <c r="Q72" s="225"/>
      <c r="R72" s="182" t="str">
        <f ca="1">IF(ISERROR($V72),"",OFFSET('Smelter Look-up'!$C$4,$V72-4,0)&amp;"")</f>
        <v>Mineracao Taboca S.A.</v>
      </c>
      <c r="S72" s="181" t="str">
        <f t="shared" ca="1" si="12"/>
        <v>BR</v>
      </c>
      <c r="T72" s="181" t="str">
        <f ca="1">IF(B72="","",IF(ISERROR(MATCH($J72,SorP!$B$1:$B$6279,0)),"",INDIRECT("'SorP'!$A$"&amp;MATCH($S72&amp;$J72,SorP!C:C,0))))</f>
        <v>BR-SP</v>
      </c>
      <c r="U72" s="201"/>
      <c r="V72" s="226">
        <f>IF(C72="",NA(),IF(OR(C72="Smelter not listed",C72="Smelter not yet identified"),MATCH($B72&amp;$D72,'Smelter Look-up'!$J:$J,0),MATCH($B72&amp;$C72,'Smelter Look-up'!$J:$J,0)))</f>
        <v>465</v>
      </c>
      <c r="X72" s="227">
        <f t="shared" si="13"/>
        <v>0</v>
      </c>
      <c r="AB72" s="228" t="str">
        <f t="shared" si="14"/>
        <v>TinMineracao Taboca S.A.</v>
      </c>
    </row>
    <row r="73" spans="1:28" s="227" customFormat="1" ht="60.5">
      <c r="A73" s="181" t="s">
        <v>773</v>
      </c>
      <c r="B73" s="182" t="s">
        <v>1126</v>
      </c>
      <c r="C73" s="186" t="s">
        <v>1030</v>
      </c>
      <c r="D73" s="230" t="s">
        <v>1030</v>
      </c>
      <c r="E73" s="182" t="s">
        <v>876</v>
      </c>
      <c r="F73" s="182" t="s">
        <v>773</v>
      </c>
      <c r="G73" s="182" t="s">
        <v>13240</v>
      </c>
      <c r="H73" s="183">
        <v>0</v>
      </c>
      <c r="I73" s="184" t="s">
        <v>1785</v>
      </c>
      <c r="J73" s="184" t="s">
        <v>9115</v>
      </c>
      <c r="K73" s="224"/>
      <c r="L73" s="224"/>
      <c r="M73" s="224"/>
      <c r="N73" s="224"/>
      <c r="O73" s="224"/>
      <c r="P73" s="185"/>
      <c r="Q73" s="225"/>
      <c r="R73" s="182" t="str">
        <f ca="1">IF(ISERROR($V73),"",OFFSET('Smelter Look-up'!$C$4,$V73-4,0)&amp;"")</f>
        <v>Minsur</v>
      </c>
      <c r="S73" s="181" t="str">
        <f t="shared" ca="1" si="12"/>
        <v>PE</v>
      </c>
      <c r="T73" s="181" t="str">
        <f ca="1">IF(B73="","",IF(ISERROR(MATCH($J73,SorP!$B$1:$B$6279,0)),"",INDIRECT("'SorP'!$A$"&amp;MATCH($S73&amp;$J73,SorP!C:C,0))))</f>
        <v>PE-ICA</v>
      </c>
      <c r="U73" s="201"/>
      <c r="V73" s="226">
        <f>IF(C73="",NA(),IF(OR(C73="Smelter not listed",C73="Smelter not yet identified"),MATCH($B73&amp;$D73,'Smelter Look-up'!$J:$J,0),MATCH($B73&amp;$C73,'Smelter Look-up'!$J:$J,0)))</f>
        <v>470</v>
      </c>
      <c r="X73" s="227">
        <f t="shared" si="13"/>
        <v>0</v>
      </c>
      <c r="AB73" s="228" t="str">
        <f t="shared" si="14"/>
        <v>TinMinsur</v>
      </c>
    </row>
    <row r="74" spans="1:28" s="227" customFormat="1" ht="48.4">
      <c r="A74" s="181" t="s">
        <v>774</v>
      </c>
      <c r="B74" s="182" t="s">
        <v>1126</v>
      </c>
      <c r="C74" s="186" t="s">
        <v>1159</v>
      </c>
      <c r="D74" s="230" t="s">
        <v>1159</v>
      </c>
      <c r="E74" s="182" t="s">
        <v>1104</v>
      </c>
      <c r="F74" s="182" t="s">
        <v>774</v>
      </c>
      <c r="G74" s="182" t="s">
        <v>13240</v>
      </c>
      <c r="H74" s="183">
        <v>0</v>
      </c>
      <c r="I74" s="184" t="s">
        <v>15815</v>
      </c>
      <c r="J74" s="184" t="s">
        <v>1551</v>
      </c>
      <c r="K74" s="224"/>
      <c r="L74" s="224"/>
      <c r="M74" s="224"/>
      <c r="N74" s="224"/>
      <c r="O74" s="224"/>
      <c r="P74" s="185"/>
      <c r="Q74" s="225"/>
      <c r="R74" s="182" t="str">
        <f ca="1">IF(ISERROR($V74),"",OFFSET('Smelter Look-up'!$C$4,$V74-4,0)&amp;"")</f>
        <v>Mitsubishi Materials Corporation</v>
      </c>
      <c r="S74" s="181" t="str">
        <f t="shared" ca="1" si="12"/>
        <v>JP</v>
      </c>
      <c r="T74" s="181" t="str">
        <f ca="1">IF(B74="","",IF(ISERROR(MATCH($J74,SorP!$B$1:$B$6279,0)),"",INDIRECT("'SorP'!$A$"&amp;MATCH($S74&amp;$J74,SorP!C:C,0))))</f>
        <v>JP-28</v>
      </c>
      <c r="U74" s="201"/>
      <c r="V74" s="226">
        <f>IF(C74="",NA(),IF(OR(C74="Smelter not listed",C74="Smelter not yet identified"),MATCH($B74&amp;$D74,'Smelter Look-up'!$J:$J,0),MATCH($B74&amp;$C74,'Smelter Look-up'!$J:$J,0)))</f>
        <v>471</v>
      </c>
      <c r="X74" s="227">
        <f t="shared" si="13"/>
        <v>0</v>
      </c>
      <c r="AB74" s="228" t="str">
        <f t="shared" si="14"/>
        <v>TinMitsubishi Materials Corporation</v>
      </c>
    </row>
    <row r="75" spans="1:28" s="227" customFormat="1" ht="48.4">
      <c r="A75" s="181" t="s">
        <v>777</v>
      </c>
      <c r="B75" s="182" t="s">
        <v>1126</v>
      </c>
      <c r="C75" s="186" t="s">
        <v>13803</v>
      </c>
      <c r="D75" s="230" t="s">
        <v>13803</v>
      </c>
      <c r="E75" s="182" t="s">
        <v>2430</v>
      </c>
      <c r="F75" s="182" t="s">
        <v>777</v>
      </c>
      <c r="G75" s="182" t="s">
        <v>13240</v>
      </c>
      <c r="H75" s="183">
        <v>0</v>
      </c>
      <c r="I75" s="184" t="s">
        <v>1769</v>
      </c>
      <c r="J75" s="184" t="s">
        <v>1769</v>
      </c>
      <c r="K75" s="224"/>
      <c r="L75" s="224"/>
      <c r="M75" s="224"/>
      <c r="N75" s="224"/>
      <c r="O75" s="224"/>
      <c r="P75" s="185"/>
      <c r="Q75" s="225"/>
      <c r="R75" s="182" t="str">
        <f ca="1">IF(ISERROR($V75),"",OFFSET('Smelter Look-up'!$C$4,$V75-4,0)&amp;"")</f>
        <v>Operaciones Metalurgicas S.A.</v>
      </c>
      <c r="S75" s="181" t="str">
        <f t="shared" ca="1" si="12"/>
        <v>BO</v>
      </c>
      <c r="T75" s="181" t="str">
        <f ca="1">IF(B75="","",IF(ISERROR(MATCH($J75,SorP!$B$1:$B$6279,0)),"",INDIRECT("'SorP'!$A$"&amp;MATCH($S75&amp;$J75,SorP!C:C,0))))</f>
        <v>BO-O</v>
      </c>
      <c r="U75" s="201"/>
      <c r="V75" s="226">
        <f>IF(C75="",NA(),IF(OR(C75="Smelter not listed",C75="Smelter not yet identified"),MATCH($B75&amp;$D75,'Smelter Look-up'!$J:$J,0),MATCH($B75&amp;$C75,'Smelter Look-up'!$J:$J,0)))</f>
        <v>482</v>
      </c>
      <c r="X75" s="227">
        <f t="shared" si="13"/>
        <v>0</v>
      </c>
      <c r="AB75" s="228" t="str">
        <f t="shared" si="14"/>
        <v>TinOperaciones Metalurgicas S.A.</v>
      </c>
    </row>
    <row r="76" spans="1:28" s="227" customFormat="1" ht="48.4">
      <c r="A76" s="181" t="s">
        <v>779</v>
      </c>
      <c r="B76" s="182" t="s">
        <v>1126</v>
      </c>
      <c r="C76" s="186" t="s">
        <v>627</v>
      </c>
      <c r="D76" s="230" t="s">
        <v>627</v>
      </c>
      <c r="E76" s="182" t="s">
        <v>1101</v>
      </c>
      <c r="F76" s="182" t="s">
        <v>779</v>
      </c>
      <c r="G76" s="182" t="s">
        <v>13240</v>
      </c>
      <c r="H76" s="183">
        <v>0</v>
      </c>
      <c r="I76" s="184" t="s">
        <v>1767</v>
      </c>
      <c r="J76" s="184" t="s">
        <v>12852</v>
      </c>
      <c r="K76" s="224"/>
      <c r="L76" s="224"/>
      <c r="M76" s="224"/>
      <c r="N76" s="224"/>
      <c r="O76" s="224"/>
      <c r="P76" s="185"/>
      <c r="Q76" s="225"/>
      <c r="R76" s="182" t="str">
        <f ca="1">IF(ISERROR($V76),"",OFFSET('Smelter Look-up'!$C$4,$V76-4,0)&amp;"")</f>
        <v>PT Mitra Stania Prima</v>
      </c>
      <c r="S76" s="181" t="str">
        <f t="shared" ca="1" si="12"/>
        <v>ID</v>
      </c>
      <c r="T76" s="181" t="str">
        <f ca="1">IF(B76="","",IF(ISERROR(MATCH($J76,SorP!$B$1:$B$6279,0)),"",INDIRECT("'SorP'!$A$"&amp;MATCH($S76&amp;$J76,SorP!C:C,0))))</f>
        <v>ID-BB</v>
      </c>
      <c r="U76" s="201"/>
      <c r="V76" s="226">
        <f>IF(C76="",NA(),IF(OR(C76="Smelter not listed",C76="Smelter not yet identified"),MATCH($B76&amp;$D76,'Smelter Look-up'!$J:$J,0),MATCH($B76&amp;$C76,'Smelter Look-up'!$J:$J,0)))</f>
        <v>500</v>
      </c>
      <c r="X76" s="227">
        <f t="shared" si="13"/>
        <v>0</v>
      </c>
      <c r="AB76" s="228" t="str">
        <f t="shared" si="14"/>
        <v>TinPT Mitra Stania Prima</v>
      </c>
    </row>
    <row r="77" spans="1:28" s="227" customFormat="1" ht="36.299999999999997">
      <c r="A77" s="181" t="s">
        <v>780</v>
      </c>
      <c r="B77" s="182" t="s">
        <v>1126</v>
      </c>
      <c r="C77" s="186" t="s">
        <v>2157</v>
      </c>
      <c r="D77" s="230" t="s">
        <v>2157</v>
      </c>
      <c r="E77" s="182" t="s">
        <v>1101</v>
      </c>
      <c r="F77" s="182" t="s">
        <v>780</v>
      </c>
      <c r="G77" s="182" t="s">
        <v>13240</v>
      </c>
      <c r="H77" s="183">
        <v>0</v>
      </c>
      <c r="I77" s="184" t="s">
        <v>1767</v>
      </c>
      <c r="J77" s="184" t="s">
        <v>12852</v>
      </c>
      <c r="K77" s="224"/>
      <c r="L77" s="224"/>
      <c r="M77" s="224"/>
      <c r="N77" s="224"/>
      <c r="O77" s="224"/>
      <c r="P77" s="185"/>
      <c r="Q77" s="225"/>
      <c r="R77" s="182" t="str">
        <f ca="1">IF(ISERROR($V77),"",OFFSET('Smelter Look-up'!$C$4,$V77-4,0)&amp;"")</f>
        <v>PT Refined Bangka Tin</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507</v>
      </c>
      <c r="X77" s="227">
        <f t="shared" si="13"/>
        <v>0</v>
      </c>
      <c r="AB77" s="228" t="str">
        <f t="shared" si="14"/>
        <v>TinPT Refined Bangka Tin</v>
      </c>
    </row>
    <row r="78" spans="1:28" s="227" customFormat="1" ht="48.4">
      <c r="A78" s="181" t="s">
        <v>800</v>
      </c>
      <c r="B78" s="182" t="s">
        <v>1126</v>
      </c>
      <c r="C78" s="186" t="s">
        <v>1028</v>
      </c>
      <c r="D78" s="230" t="s">
        <v>13802</v>
      </c>
      <c r="E78" s="182" t="s">
        <v>1101</v>
      </c>
      <c r="F78" s="182" t="s">
        <v>800</v>
      </c>
      <c r="G78" s="182" t="s">
        <v>13240</v>
      </c>
      <c r="H78" s="183">
        <v>0</v>
      </c>
      <c r="I78" s="184" t="s">
        <v>1792</v>
      </c>
      <c r="J78" s="184" t="s">
        <v>6065</v>
      </c>
      <c r="K78" s="224"/>
      <c r="L78" s="224"/>
      <c r="M78" s="224"/>
      <c r="N78" s="224"/>
      <c r="O78" s="224"/>
      <c r="P78" s="185"/>
      <c r="Q78" s="225"/>
      <c r="R78" s="182" t="str">
        <f ca="1">IF(ISERROR($V78),"",OFFSET('Smelter Look-up'!$C$4,$V78-4,0)&amp;"")</f>
        <v>PT Timah Tbk Kundur</v>
      </c>
      <c r="S78" s="181" t="str">
        <f t="shared" ca="1" si="12"/>
        <v>ID</v>
      </c>
      <c r="T78" s="181" t="str">
        <f ca="1">IF(B78="","",IF(ISERROR(MATCH($J78,SorP!$B$1:$B$6279,0)),"",INDIRECT("'SorP'!$A$"&amp;MATCH($S78&amp;$J78,SorP!C:C,0))))</f>
        <v>ID-RI</v>
      </c>
      <c r="U78" s="201"/>
      <c r="V78" s="226">
        <f>IF(C78="",NA(),IF(OR(C78="Smelter not listed",C78="Smelter not yet identified"),MATCH($B78&amp;$D78,'Smelter Look-up'!$J:$J,0),MATCH($B78&amp;$C78,'Smelter Look-up'!$J:$J,0)))</f>
        <v>511</v>
      </c>
      <c r="X78" s="227">
        <f t="shared" si="13"/>
        <v>0</v>
      </c>
      <c r="AB78" s="228" t="str">
        <f t="shared" si="14"/>
        <v>TinPT Tambang Timah</v>
      </c>
    </row>
    <row r="79" spans="1:28" s="227" customFormat="1" ht="24.2">
      <c r="A79" s="181" t="s">
        <v>781</v>
      </c>
      <c r="B79" s="182" t="s">
        <v>1126</v>
      </c>
      <c r="C79" s="186" t="s">
        <v>13801</v>
      </c>
      <c r="D79" s="230" t="s">
        <v>13801</v>
      </c>
      <c r="E79" s="182" t="s">
        <v>1101</v>
      </c>
      <c r="F79" s="182" t="s">
        <v>781</v>
      </c>
      <c r="G79" s="182" t="s">
        <v>13240</v>
      </c>
      <c r="H79" s="183">
        <v>0</v>
      </c>
      <c r="I79" s="184" t="s">
        <v>1794</v>
      </c>
      <c r="J79" s="184" t="s">
        <v>12852</v>
      </c>
      <c r="K79" s="224"/>
      <c r="L79" s="224"/>
      <c r="M79" s="224"/>
      <c r="N79" s="224"/>
      <c r="O79" s="224"/>
      <c r="P79" s="185"/>
      <c r="Q79" s="225"/>
      <c r="R79" s="182" t="str">
        <f ca="1">IF(ISERROR($V79),"",OFFSET('Smelter Look-up'!$C$4,$V79-4,0)&amp;"")</f>
        <v>PT Timah Tbk Mentok</v>
      </c>
      <c r="S79" s="181" t="str">
        <f t="shared" ca="1" si="12"/>
        <v>ID</v>
      </c>
      <c r="T79" s="181" t="str">
        <f ca="1">IF(B79="","",IF(ISERROR(MATCH($J79,SorP!$B$1:$B$6279,0)),"",INDIRECT("'SorP'!$A$"&amp;MATCH($S79&amp;$J79,SorP!C:C,0))))</f>
        <v>ID-BB</v>
      </c>
      <c r="U79" s="201"/>
      <c r="V79" s="226">
        <f>IF(C79="",NA(),IF(OR(C79="Smelter not listed",C79="Smelter not yet identified"),MATCH($B79&amp;$D79,'Smelter Look-up'!$J:$J,0),MATCH($B79&amp;$C79,'Smelter Look-up'!$J:$J,0)))</f>
        <v>514</v>
      </c>
      <c r="X79" s="227">
        <f t="shared" si="13"/>
        <v>0</v>
      </c>
      <c r="AB79" s="228" t="str">
        <f t="shared" si="14"/>
        <v>TinPT Timah Tbk Mentok</v>
      </c>
    </row>
    <row r="80" spans="1:28" s="227" customFormat="1" ht="84.7">
      <c r="A80" s="181" t="s">
        <v>784</v>
      </c>
      <c r="B80" s="182" t="s">
        <v>1126</v>
      </c>
      <c r="C80" s="186" t="s">
        <v>1027</v>
      </c>
      <c r="D80" s="230" t="s">
        <v>1027</v>
      </c>
      <c r="E80" s="182" t="s">
        <v>884</v>
      </c>
      <c r="F80" s="182" t="s">
        <v>784</v>
      </c>
      <c r="G80" s="182" t="s">
        <v>13240</v>
      </c>
      <c r="H80" s="183">
        <v>0</v>
      </c>
      <c r="I80" s="184" t="s">
        <v>1795</v>
      </c>
      <c r="J80" s="184" t="s">
        <v>1796</v>
      </c>
      <c r="K80" s="224"/>
      <c r="L80" s="224"/>
      <c r="M80" s="224"/>
      <c r="N80" s="224"/>
      <c r="O80" s="224"/>
      <c r="P80" s="185"/>
      <c r="Q80" s="225"/>
      <c r="R80" s="182" t="str">
        <f ca="1">IF(ISERROR($V80),"",OFFSET('Smelter Look-up'!$C$4,$V80-4,0)&amp;"")</f>
        <v>Thaisarco</v>
      </c>
      <c r="S80" s="181" t="str">
        <f t="shared" ca="1" si="12"/>
        <v>TH</v>
      </c>
      <c r="T80" s="181" t="str">
        <f ca="1">IF(B80="","",IF(ISERROR(MATCH($J80,SorP!$B$1:$B$6279,0)),"",INDIRECT("'SorP'!$A$"&amp;MATCH($S80&amp;$J80,SorP!C:C,0))))</f>
        <v>TH-83</v>
      </c>
      <c r="U80" s="201"/>
      <c r="V80" s="226">
        <f>IF(C80="",NA(),IF(OR(C80="Smelter not listed",C80="Smelter not yet identified"),MATCH($B80&amp;$D80,'Smelter Look-up'!$J:$J,0),MATCH($B80&amp;$C80,'Smelter Look-up'!$J:$J,0)))</f>
        <v>526</v>
      </c>
      <c r="X80" s="227">
        <f t="shared" si="13"/>
        <v>0</v>
      </c>
      <c r="AB80" s="228" t="str">
        <f t="shared" si="14"/>
        <v>TinThaisarco</v>
      </c>
    </row>
    <row r="81" spans="1:28" s="227" customFormat="1" ht="96.8">
      <c r="A81" s="181" t="s">
        <v>786</v>
      </c>
      <c r="B81" s="182" t="s">
        <v>1126</v>
      </c>
      <c r="C81" s="186" t="s">
        <v>2166</v>
      </c>
      <c r="D81" s="230" t="s">
        <v>2166</v>
      </c>
      <c r="E81" s="182" t="s">
        <v>1096</v>
      </c>
      <c r="F81" s="182" t="s">
        <v>786</v>
      </c>
      <c r="G81" s="182" t="s">
        <v>13240</v>
      </c>
      <c r="H81" s="183">
        <v>0</v>
      </c>
      <c r="I81" s="184" t="s">
        <v>2446</v>
      </c>
      <c r="J81" s="184" t="s">
        <v>15813</v>
      </c>
      <c r="K81" s="224"/>
      <c r="L81" s="224"/>
      <c r="M81" s="224"/>
      <c r="N81" s="224"/>
      <c r="O81" s="224"/>
      <c r="P81" s="185"/>
      <c r="Q81" s="225"/>
      <c r="R81" s="182" t="str">
        <f ca="1">IF(ISERROR($V81),"",OFFSET('Smelter Look-up'!$C$4,$V81-4,0)&amp;"")</f>
        <v>Yunnan Chengfeng Non-ferrous Metals Co., Ltd.</v>
      </c>
      <c r="S81" s="181" t="str">
        <f t="shared" ca="1" si="12"/>
        <v>CN</v>
      </c>
      <c r="T81" s="181" t="str">
        <f ca="1">IF(B81="","",IF(ISERROR(MATCH($J81,SorP!$B$1:$B$6279,0)),"",INDIRECT("'SorP'!$A$"&amp;MATCH($S81&amp;$J81,SorP!C:C,0))))</f>
        <v/>
      </c>
      <c r="U81" s="201"/>
      <c r="V81" s="226">
        <f>IF(C81="",NA(),IF(OR(C81="Smelter not listed",C81="Smelter not yet identified"),MATCH($B81&amp;$D81,'Smelter Look-up'!$J:$J,0),MATCH($B81&amp;$C81,'Smelter Look-up'!$J:$J,0)))</f>
        <v>543</v>
      </c>
      <c r="X81" s="227">
        <f t="shared" si="13"/>
        <v>0</v>
      </c>
      <c r="AB81" s="228" t="str">
        <f t="shared" si="14"/>
        <v>TinYunnan Chengfeng Non-ferrous Metals Co., Ltd.</v>
      </c>
    </row>
    <row r="82" spans="1:28" s="227" customFormat="1" ht="48.4">
      <c r="A82" s="181" t="s">
        <v>787</v>
      </c>
      <c r="B82" s="182" t="s">
        <v>1126</v>
      </c>
      <c r="C82" s="186" t="s">
        <v>2234</v>
      </c>
      <c r="D82" s="230" t="s">
        <v>15472</v>
      </c>
      <c r="E82" s="182" t="s">
        <v>1096</v>
      </c>
      <c r="F82" s="182" t="s">
        <v>787</v>
      </c>
      <c r="G82" s="182" t="s">
        <v>13240</v>
      </c>
      <c r="H82" s="183">
        <v>0</v>
      </c>
      <c r="I82" s="184" t="s">
        <v>2446</v>
      </c>
      <c r="J82" s="184" t="s">
        <v>15813</v>
      </c>
      <c r="K82" s="224"/>
      <c r="L82" s="224"/>
      <c r="M82" s="224"/>
      <c r="N82" s="224"/>
      <c r="O82" s="224"/>
      <c r="P82" s="185"/>
      <c r="Q82" s="225"/>
      <c r="R82" s="182" t="str">
        <f ca="1">IF(ISERROR($V82),"",OFFSET('Smelter Look-up'!$C$4,$V82-4,0)&amp;"")</f>
        <v>Tin Smelting Branch of Yunnan Tin Co., Ltd.</v>
      </c>
      <c r="S82" s="181" t="str">
        <f t="shared" ca="1" si="12"/>
        <v>CN</v>
      </c>
      <c r="T82" s="181" t="str">
        <f ca="1">IF(B82="","",IF(ISERROR(MATCH($J82,SorP!$B$1:$B$6279,0)),"",INDIRECT("'SorP'!$A$"&amp;MATCH($S82&amp;$J82,SorP!C:C,0))))</f>
        <v/>
      </c>
      <c r="U82" s="201"/>
      <c r="V82" s="226">
        <f>IF(C82="",NA(),IF(OR(C82="Smelter not listed",C82="Smelter not yet identified"),MATCH($B82&amp;$D82,'Smelter Look-up'!$J:$J,0),MATCH($B82&amp;$C82,'Smelter Look-up'!$J:$J,0)))</f>
        <v>522</v>
      </c>
      <c r="X82" s="227">
        <f t="shared" si="13"/>
        <v>0</v>
      </c>
      <c r="AB82" s="228" t="str">
        <f t="shared" si="14"/>
        <v>TinSmelting Branch of Yunnan Tin Company Ltd</v>
      </c>
    </row>
    <row r="83" spans="1:28" s="227" customFormat="1" ht="36.299999999999997">
      <c r="A83" s="181" t="s">
        <v>1815</v>
      </c>
      <c r="B83" s="182" t="s">
        <v>1126</v>
      </c>
      <c r="C83" s="186" t="s">
        <v>12932</v>
      </c>
      <c r="D83" s="230" t="s">
        <v>12932</v>
      </c>
      <c r="E83" s="182" t="s">
        <v>1091</v>
      </c>
      <c r="F83" s="182" t="s">
        <v>1815</v>
      </c>
      <c r="G83" s="182" t="s">
        <v>13240</v>
      </c>
      <c r="H83" s="183">
        <v>0</v>
      </c>
      <c r="I83" s="184" t="s">
        <v>1816</v>
      </c>
      <c r="J83" s="184" t="s">
        <v>3153</v>
      </c>
      <c r="K83" s="224"/>
      <c r="L83" s="224"/>
      <c r="M83" s="224"/>
      <c r="N83" s="224"/>
      <c r="O83" s="224"/>
      <c r="P83" s="185"/>
      <c r="Q83" s="225"/>
      <c r="R83" s="182" t="str">
        <f ca="1">IF(ISERROR($V83),"",OFFSET('Smelter Look-up'!$C$4,$V83-4,0)&amp;"")</f>
        <v>Aurubis Beerse</v>
      </c>
      <c r="S83" s="181" t="str">
        <f t="shared" ca="1" si="12"/>
        <v>BE</v>
      </c>
      <c r="T83" s="181" t="str">
        <f ca="1">IF(B83="","",IF(ISERROR(MATCH($J83,SorP!$B$1:$B$6279,0)),"",INDIRECT("'SorP'!$A$"&amp;MATCH($S83&amp;$J83,SorP!C:C,0))))</f>
        <v>BE-VAN</v>
      </c>
      <c r="U83" s="201"/>
      <c r="V83" s="226">
        <f>IF(C83="",NA(),IF(OR(C83="Smelter not listed",C83="Smelter not yet identified"),MATCH($B83&amp;$D83,'Smelter Look-up'!$J:$J,0),MATCH($B83&amp;$C83,'Smelter Look-up'!$J:$J,0)))</f>
        <v>463</v>
      </c>
      <c r="X83" s="227">
        <f t="shared" si="13"/>
        <v>0</v>
      </c>
      <c r="AB83" s="228" t="str">
        <f t="shared" si="14"/>
        <v>TinMetallo Belgium N.V.</v>
      </c>
    </row>
    <row r="84" spans="1:28" s="227" customFormat="1" ht="24.2">
      <c r="A84" s="181" t="s">
        <v>1817</v>
      </c>
      <c r="B84" s="182" t="s">
        <v>1126</v>
      </c>
      <c r="C84" s="186" t="s">
        <v>12933</v>
      </c>
      <c r="D84" s="230" t="s">
        <v>12933</v>
      </c>
      <c r="E84" s="182" t="s">
        <v>1098</v>
      </c>
      <c r="F84" s="182" t="s">
        <v>1817</v>
      </c>
      <c r="G84" s="182" t="s">
        <v>13240</v>
      </c>
      <c r="H84" s="183">
        <v>0</v>
      </c>
      <c r="I84" s="184" t="s">
        <v>1818</v>
      </c>
      <c r="J84" s="184" t="s">
        <v>12412</v>
      </c>
      <c r="K84" s="224"/>
      <c r="L84" s="224"/>
      <c r="M84" s="224"/>
      <c r="N84" s="224"/>
      <c r="O84" s="224"/>
      <c r="P84" s="185"/>
      <c r="Q84" s="225"/>
      <c r="R84" s="182" t="str">
        <f ca="1">IF(ISERROR($V84),"",OFFSET('Smelter Look-up'!$C$4,$V84-4,0)&amp;"")</f>
        <v>Aurubis Berango</v>
      </c>
      <c r="S84" s="181" t="str">
        <f t="shared" ca="1" si="12"/>
        <v>ES</v>
      </c>
      <c r="T84" s="181" t="str">
        <f ca="1">IF(B84="","",IF(ISERROR(MATCH($J84,SorP!$B$1:$B$6279,0)),"",INDIRECT("'SorP'!$A$"&amp;MATCH($S84&amp;$J84,SorP!C:C,0))))</f>
        <v>ES-BI</v>
      </c>
      <c r="U84" s="201"/>
      <c r="V84" s="226">
        <f>IF(C84="",NA(),IF(OR(C84="Smelter not listed",C84="Smelter not yet identified"),MATCH($B84&amp;$D84,'Smelter Look-up'!$J:$J,0),MATCH($B84&amp;$C84,'Smelter Look-up'!$J:$J,0)))</f>
        <v>464</v>
      </c>
      <c r="X84" s="227">
        <f t="shared" si="13"/>
        <v>0</v>
      </c>
      <c r="AB84" s="228" t="str">
        <f t="shared" si="14"/>
        <v>TinMetallo Spain S.L.U.</v>
      </c>
    </row>
    <row r="85" spans="1:28" s="227" customFormat="1" ht="24.2">
      <c r="A85" s="181" t="s">
        <v>783</v>
      </c>
      <c r="B85" s="182" t="s">
        <v>1126</v>
      </c>
      <c r="C85" s="186" t="s">
        <v>782</v>
      </c>
      <c r="D85" s="230" t="s">
        <v>782</v>
      </c>
      <c r="E85" s="182" t="s">
        <v>2431</v>
      </c>
      <c r="F85" s="182" t="s">
        <v>783</v>
      </c>
      <c r="G85" s="182" t="s">
        <v>13240</v>
      </c>
      <c r="H85" s="183">
        <v>0</v>
      </c>
      <c r="I85" s="184" t="s">
        <v>13829</v>
      </c>
      <c r="J85" s="184" t="s">
        <v>1701</v>
      </c>
      <c r="K85" s="224"/>
      <c r="L85" s="224"/>
      <c r="M85" s="224"/>
      <c r="N85" s="224"/>
      <c r="O85" s="224"/>
      <c r="P85" s="185"/>
      <c r="Q85" s="225"/>
      <c r="R85" s="182" t="str">
        <f ca="1">IF(ISERROR($V85),"",OFFSET('Smelter Look-up'!$C$4,$V85-4,0)&amp;"")</f>
        <v>Rui Da Hung</v>
      </c>
      <c r="S85" s="181" t="str">
        <f t="shared" ca="1" si="12"/>
        <v>TW</v>
      </c>
      <c r="T85" s="181" t="str">
        <f ca="1">IF(B85="","",IF(ISERROR(MATCH($J85,SorP!$B$1:$B$6279,0)),"",INDIRECT("'SorP'!$A$"&amp;MATCH($S85&amp;$J85,SorP!C:C,0))))</f>
        <v>TW-TAO</v>
      </c>
      <c r="U85" s="201"/>
      <c r="V85" s="226">
        <f>IF(C85="",NA(),IF(OR(C85="Smelter not listed",C85="Smelter not yet identified"),MATCH($B85&amp;$D85,'Smelter Look-up'!$J:$J,0),MATCH($B85&amp;$C85,'Smelter Look-up'!$J:$J,0)))</f>
        <v>521</v>
      </c>
      <c r="X85" s="227">
        <f t="shared" si="13"/>
        <v>0</v>
      </c>
      <c r="AB85" s="228" t="str">
        <f t="shared" si="14"/>
        <v>TinRui Da Hung</v>
      </c>
    </row>
    <row r="86" spans="1:28" s="227" customFormat="1" ht="48.4">
      <c r="A86" s="181" t="s">
        <v>784</v>
      </c>
      <c r="B86" s="182" t="s">
        <v>1126</v>
      </c>
      <c r="C86" s="186" t="s">
        <v>1027</v>
      </c>
      <c r="D86" s="230" t="s">
        <v>1027</v>
      </c>
      <c r="E86" s="182" t="s">
        <v>884</v>
      </c>
      <c r="F86" s="182" t="s">
        <v>784</v>
      </c>
      <c r="G86" s="182" t="s">
        <v>13240</v>
      </c>
      <c r="H86" s="183">
        <v>0</v>
      </c>
      <c r="I86" s="184" t="s">
        <v>1795</v>
      </c>
      <c r="J86" s="184" t="s">
        <v>1796</v>
      </c>
      <c r="K86" s="224"/>
      <c r="L86" s="224"/>
      <c r="M86" s="224"/>
      <c r="N86" s="224"/>
      <c r="O86" s="224"/>
      <c r="P86" s="185"/>
      <c r="Q86" s="225"/>
      <c r="R86" s="182" t="str">
        <f ca="1">IF(ISERROR($V86),"",OFFSET('Smelter Look-up'!$C$4,$V86-4,0)&amp;"")</f>
        <v>Thaisarco</v>
      </c>
      <c r="S86" s="181" t="str">
        <f t="shared" ca="1" si="12"/>
        <v>TH</v>
      </c>
      <c r="T86" s="181" t="str">
        <f ca="1">IF(B86="","",IF(ISERROR(MATCH($J86,SorP!$B$1:$B$6279,0)),"",INDIRECT("'SorP'!$A$"&amp;MATCH($S86&amp;$J86,SorP!C:C,0))))</f>
        <v>TH-83</v>
      </c>
      <c r="U86" s="201"/>
      <c r="V86" s="226">
        <f>IF(C86="",NA(),IF(OR(C86="Smelter not listed",C86="Smelter not yet identified"),MATCH($B86&amp;$D86,'Smelter Look-up'!$J:$J,0),MATCH($B86&amp;$C86,'Smelter Look-up'!$J:$J,0)))</f>
        <v>526</v>
      </c>
      <c r="X86" s="227">
        <f t="shared" si="13"/>
        <v>0</v>
      </c>
      <c r="AB86" s="228" t="str">
        <f t="shared" si="14"/>
        <v>TinThaisarco</v>
      </c>
    </row>
    <row r="87" spans="1:28" s="227" customFormat="1" ht="20.2">
      <c r="A87" s="181" t="s">
        <v>15116</v>
      </c>
      <c r="B87" s="182" t="s">
        <v>1126</v>
      </c>
      <c r="C87" s="186" t="s">
        <v>15115</v>
      </c>
      <c r="D87" s="230" t="s">
        <v>15115</v>
      </c>
      <c r="E87" s="182" t="s">
        <v>1101</v>
      </c>
      <c r="F87" s="182" t="s">
        <v>15116</v>
      </c>
      <c r="G87" s="182" t="s">
        <v>13240</v>
      </c>
      <c r="H87" s="183"/>
      <c r="I87" s="184" t="s">
        <v>15143</v>
      </c>
      <c r="J87" s="184" t="s">
        <v>12852</v>
      </c>
      <c r="K87" s="224"/>
      <c r="L87" s="224"/>
      <c r="M87" s="224"/>
      <c r="N87" s="224"/>
      <c r="O87" s="224"/>
      <c r="P87" s="185"/>
      <c r="Q87" s="225"/>
      <c r="R87" s="182" t="str">
        <f ca="1">IF(ISERROR($V87),"",OFFSET('Smelter Look-up'!$C$4,$V87-4,0)&amp;"")</f>
        <v>PT Stanindo Inti Perkasa</v>
      </c>
      <c r="S87" s="181" t="str">
        <f t="shared" ca="1" si="12"/>
        <v>ID</v>
      </c>
      <c r="T87" s="181" t="str">
        <f ca="1">IF(B87="","",IF(ISERROR(MATCH($J87,SorP!$B$1:$B$6279,0)),"",INDIRECT("'SorP'!$A$"&amp;MATCH($S87&amp;$J87,SorP!C:C,0))))</f>
        <v>ID-BB</v>
      </c>
      <c r="U87" s="201"/>
      <c r="V87" s="226">
        <f>IF(C87="",NA(),IF(OR(C87="Smelter not listed",C87="Smelter not yet identified"),MATCH($B87&amp;$D87,'Smelter Look-up'!$J:$J,0),MATCH($B87&amp;$C87,'Smelter Look-up'!$J:$J,0)))</f>
        <v>509</v>
      </c>
      <c r="X87" s="227">
        <f t="shared" si="13"/>
        <v>0</v>
      </c>
      <c r="AB87" s="228" t="str">
        <f t="shared" si="14"/>
        <v>TinPT Stanindo Inti Perkasa</v>
      </c>
    </row>
    <row r="88" spans="1:28" s="227" customFormat="1" ht="20.2">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DA5FB5-0C83-46A1-9162-14DDD5D27DEF}"/>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1"/>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9.9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7.450000000000003">
      <c r="A4" s="90" t="str">
        <f ca="1">Declaration!B8</f>
        <v>Company Name (*):</v>
      </c>
      <c r="B4" s="89" t="str">
        <f>Declaration!D8</f>
        <v>C&amp;K Components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45000000000000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45000000000000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7.450000000000003">
      <c r="A7" s="90" t="str">
        <f ca="1">Declaration!B15</f>
        <v>Contact Name (*):</v>
      </c>
      <c r="B7" s="89" t="str">
        <f>Declaration!D15</f>
        <v>Amy Chen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450000000000003">
      <c r="A8" s="90" t="str">
        <f ca="1">Declaration!B16</f>
        <v>Email – Contact (*):</v>
      </c>
      <c r="B8" s="89" t="str">
        <f>Declaration!D16</f>
        <v>envrequests-ck@littelfuse.com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450000000000003">
      <c r="A9" s="90" t="str">
        <f ca="1">Declaration!B17</f>
        <v>Phone – Contact (*):</v>
      </c>
      <c r="B9" s="273" t="str">
        <f>Declaration!D17</f>
        <v>86-752-2773999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450000000000003">
      <c r="A10" s="90" t="str">
        <f ca="1">Declaration!B18</f>
        <v>Authorizer (*):</v>
      </c>
      <c r="B10" s="89" t="str">
        <f>Declaration!D18</f>
        <v>Harry Dong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450000000000003">
      <c r="A11" s="90" t="str">
        <f ca="1">Declaration!B20</f>
        <v>Email - Authorizer (*):</v>
      </c>
      <c r="B11" s="89" t="str">
        <f>Declaration!D20</f>
        <v>envrequests-ck@littelfuse.com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450000000000003">
      <c r="A12" s="90" t="str">
        <f ca="1">Declaration!B22</f>
        <v>Effective Date (*):</v>
      </c>
      <c r="B12" s="91">
        <f>Declaration!D22</f>
        <v>45131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0.5">
      <c r="A13" s="89" t="str">
        <f ca="1">Declaration!B25</f>
        <v>1) Is any 3TG intentionally added or used in the product(s) or in the production process? (*)</v>
      </c>
      <c r="B13" s="92"/>
      <c r="C13" s="92"/>
      <c r="D13" s="96"/>
      <c r="E13" s="20" t="s">
        <v>806</v>
      </c>
      <c r="F13" s="93"/>
      <c r="H13" s="19">
        <f t="shared" si="3"/>
        <v>0</v>
      </c>
    </row>
    <row r="14" spans="1:10" ht="25.3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45000000000000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45000000000000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45000000000000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8.4">
      <c r="A18" s="89" t="str">
        <f ca="1">Declaration!B31</f>
        <v>2) Does any 3TG remain in the product(s)?</v>
      </c>
      <c r="B18" s="92"/>
      <c r="C18" s="92"/>
      <c r="D18" s="96"/>
      <c r="E18" s="20" t="s">
        <v>804</v>
      </c>
      <c r="F18" s="93"/>
      <c r="J18" s="148"/>
    </row>
    <row r="19" spans="1:10" ht="37.45000000000000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45000000000000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45000000000000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45000000000000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7.450000000000003">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450000000000003">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450000000000003">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450000000000003">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0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0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0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0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2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7.450000000000003">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450000000000003">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450000000000003">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450000000000003">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299999999999997">
      <c r="A38" s="89" t="str">
        <f ca="1">Declaration!B55</f>
        <v xml:space="preserve">6) What percentage of relevant suppliers have provided a response to your supply chain survey? </v>
      </c>
      <c r="B38" s="92"/>
      <c r="C38" s="92"/>
      <c r="D38" s="96"/>
      <c r="E38" s="20" t="s">
        <v>803</v>
      </c>
      <c r="F38" s="93"/>
    </row>
    <row r="39" spans="1:10" ht="25.3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3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3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3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8.4">
      <c r="A43" s="89" t="str">
        <f ca="1">Declaration!B61</f>
        <v xml:space="preserve">7) Have you identified all of the smelters supplying the 3TG to your supply chain? </v>
      </c>
      <c r="B43" s="92"/>
      <c r="C43" s="92"/>
      <c r="D43" s="96"/>
      <c r="E43" s="20" t="s">
        <v>804</v>
      </c>
      <c r="F43" s="93"/>
    </row>
    <row r="44" spans="1:10" ht="49.5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49.5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49.5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49.5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0.5">
      <c r="A48" s="89" t="str">
        <f ca="1">Declaration!B67</f>
        <v xml:space="preserve">8) Has all applicable smelter information received by your company been reported in this declaration? </v>
      </c>
      <c r="B48" s="92"/>
      <c r="C48" s="92"/>
      <c r="D48" s="96"/>
      <c r="E48" s="20" t="s">
        <v>805</v>
      </c>
      <c r="F48" s="93"/>
    </row>
    <row r="49" spans="1:10" ht="37.45000000000000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450000000000003">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450000000000003">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450000000000003">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2">
      <c r="A53" s="89" t="str">
        <f ca="1">Declaration!B74</f>
        <v>Question</v>
      </c>
      <c r="B53" s="92"/>
      <c r="C53" s="92"/>
      <c r="D53" s="96"/>
      <c r="E53" s="20" t="s">
        <v>441</v>
      </c>
      <c r="F53" s="93"/>
      <c r="G53" s="93"/>
      <c r="H53" s="93"/>
    </row>
    <row r="54" spans="1:10" ht="37.450000000000003">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t="str">
        <f>Declaration!G77</f>
        <v>https://www.ckswitches.com/about-us/environment/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8.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450000000000003">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450000000000003">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450000000000003">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450000000000003">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450000000000003">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45000000000000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45000000000000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450000000000003">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450000000000003">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45000000000000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1"/>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 customHeight="1">
      <c r="A4" s="23"/>
      <c r="B4" s="393" t="s">
        <v>894</v>
      </c>
      <c r="C4" s="393"/>
      <c r="D4" s="393"/>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2.7"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8" activePane="bottomLeft" state="frozen"/>
      <selection activeCell="A4" sqref="A4"/>
      <selection pane="bottomLeft" activeCell="I53" sqref="B53:I53"/>
    </sheetView>
  </sheetViews>
  <sheetFormatPr defaultColWidth="8.90625" defaultRowHeight="12.1"/>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8.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5"/>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9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150000000000006">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9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150000000000006">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3.05000000000001">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08.9">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05"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05.6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3.60000000000002">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29.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00000000000003"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9.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4.8">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5000000000001"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0.8">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150000000000006">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3">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72.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9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6.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4.4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15000000000000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8.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45.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9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9">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5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9.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7.9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2.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2.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04.149999999999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8">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6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9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9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69.3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8.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2.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150000000000006">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2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35.0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6">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9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4">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150000000000006">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2.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2.64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2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9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4">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5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7.6">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3">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6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6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3.2">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36.299999999999997">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6.2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6.2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6.2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6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15000000000000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8.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6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6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6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6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6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6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6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6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6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6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6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6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3">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3">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3">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3">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3">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3">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15000000000000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15000000000000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15000000000000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15000000000000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9.15000000000000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3">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3">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9.15000000000000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9.150000000000006">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9.150000000000006">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3">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9.150000000000006">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0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0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0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0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3">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3">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3">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3">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3">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3">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6.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5.3">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05"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05"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0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0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0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0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8"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9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150000000000006">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150000000000006">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CHEN, Amy</cp:lastModifiedBy>
  <cp:lastPrinted>2015-04-21T20:47:43Z</cp:lastPrinted>
  <dcterms:created xsi:type="dcterms:W3CDTF">2010-06-21T21:00:23Z</dcterms:created>
  <dcterms:modified xsi:type="dcterms:W3CDTF">2023-07-24T02:43:42Z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